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20" windowWidth="9450" windowHeight="6735" tabRatio="639" firstSheet="19" activeTab="25"/>
  </bookViews>
  <sheets>
    <sheet name="الكلفه  للسنوات" sheetId="38" r:id="rId1"/>
    <sheet name="مخطط الكلفه للسنوات" sheetId="40" r:id="rId2"/>
    <sheet name="مؤشرات" sheetId="21" r:id="rId3"/>
    <sheet name="مخطط المؤشرات" sheetId="43" r:id="rId4"/>
    <sheet name="دور السكن ج" sheetId="19" r:id="rId5"/>
    <sheet name="دور السكن م" sheetId="20" r:id="rId6"/>
    <sheet name="عمارات سكنيه ج و م" sheetId="25" r:id="rId7"/>
    <sheet name="عمارات تجاريه ج" sheetId="27" r:id="rId8"/>
    <sheet name="عمارات تجاريه م" sheetId="28" r:id="rId9"/>
    <sheet name="ابنيه صناعيه ج" sheetId="34" r:id="rId10"/>
    <sheet name="صناعي اضافة" sheetId="57" r:id="rId11"/>
    <sheet name="ابنيه تجاريه ج" sheetId="36" r:id="rId12"/>
    <sheet name="ابنيه تجاريه م" sheetId="37" r:id="rId13"/>
    <sheet name="ابنيه اجتماعيه ج" sheetId="30" r:id="rId14"/>
    <sheet name="ابنيه اجتماعيه م" sheetId="31" r:id="rId15"/>
    <sheet name="العاملين" sheetId="22" r:id="rId16"/>
    <sheet name="مخطط العاملين" sheetId="46" r:id="rId17"/>
    <sheet name="طابوق" sheetId="32" r:id="rId18"/>
    <sheet name="بلوك" sheetId="18" r:id="rId19"/>
    <sheet name="مخطط الطابوق والبلوك" sheetId="48" r:id="rId20"/>
    <sheet name="حجر" sheetId="13" r:id="rId21"/>
    <sheet name="حصى" sheetId="5" r:id="rId22"/>
    <sheet name="رمل" sheetId="7" r:id="rId23"/>
    <sheet name="مخطط الحصى" sheetId="50" r:id="rId24"/>
    <sheet name="سمنت" sheetId="29" r:id="rId25"/>
    <sheet name="جص" sheetId="6" r:id="rId26"/>
    <sheet name="مخطط الجص والاسمنت" sheetId="53" r:id="rId27"/>
    <sheet name="كاشي" sheetId="11" r:id="rId28"/>
    <sheet name="كاشي2" sheetId="12" r:id="rId29"/>
    <sheet name="مخطط الكاشي" sheetId="55" r:id="rId30"/>
    <sheet name="حديد" sheetId="24" r:id="rId31"/>
    <sheet name="ابواب" sheetId="2" r:id="rId32"/>
    <sheet name="شبابيك" sheetId="1" r:id="rId33"/>
    <sheet name="ت.كهربائيه1" sheetId="4" r:id="rId34"/>
    <sheet name="ت.كهربائيه2" sheetId="3" r:id="rId35"/>
    <sheet name="ت.صحيه1" sheetId="9" r:id="rId36"/>
    <sheet name="ت.صحيه2" sheetId="8" r:id="rId37"/>
    <sheet name="ت.صحيه3" sheetId="10" r:id="rId38"/>
    <sheet name="مواد انشائيه1" sheetId="17" r:id="rId39"/>
    <sheet name="مواد انشائيه2" sheetId="16" r:id="rId40"/>
    <sheet name="مواد انشائيه3" sheetId="15" r:id="rId41"/>
    <sheet name="مواد انشائيه4" sheetId="39" r:id="rId42"/>
    <sheet name="الكلفه الكليه" sheetId="23" r:id="rId43"/>
    <sheet name="Sheet3" sheetId="59" r:id="rId44"/>
    <sheet name="Sheet1" sheetId="56" r:id="rId45"/>
  </sheets>
  <externalReferences>
    <externalReference r:id="rId46"/>
  </externalReferences>
  <definedNames>
    <definedName name="_xlnm.Print_Area" localSheetId="0">'الكلفه  للسنوات'!#REF!</definedName>
    <definedName name="_xlnm.Print_Area" localSheetId="5">'دور السكن م'!$A$1:$G$24</definedName>
    <definedName name="_xlnm.Print_Area" localSheetId="7">'عمارات تجاريه ج'!$A$1:$K$25</definedName>
    <definedName name="_xlnm.Print_Area" localSheetId="8">'عمارات تجاريه م'!$A$1:$J$16</definedName>
    <definedName name="_xlnm.Print_Area" localSheetId="19">'مخطط الطابوق والبلوك'!$A$1:$M$29</definedName>
    <definedName name="_xlnm.Print_Area" localSheetId="41">'مواد انشائيه4'!$A$1:$K$27</definedName>
    <definedName name="_xlnm.Print_Area" localSheetId="2">مؤشرات!$A$1:$M$19</definedName>
  </definedNames>
  <calcPr calcId="144525"/>
  <fileRecoveryPr autoRecover="0"/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E25" i="6"/>
  <c r="I24" i="39" l="1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9" i="39"/>
  <c r="E24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9" i="16"/>
  <c r="I24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9" i="17"/>
  <c r="C26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11" i="4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9" i="12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10" i="6"/>
  <c r="G17" i="13"/>
  <c r="G11" i="13"/>
  <c r="G12" i="13"/>
  <c r="G13" i="13"/>
  <c r="G14" i="13"/>
  <c r="G15" i="13"/>
  <c r="G16" i="13"/>
  <c r="G10" i="13"/>
  <c r="C17" i="13"/>
  <c r="C16" i="13"/>
  <c r="C14" i="13"/>
  <c r="C11" i="13"/>
  <c r="C10" i="13"/>
  <c r="G24" i="12" l="1"/>
  <c r="C24" i="12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C15" i="21"/>
  <c r="D15" i="21"/>
  <c r="E15" i="21"/>
  <c r="F15" i="21"/>
  <c r="G15" i="21"/>
  <c r="J15" i="21" s="1"/>
  <c r="H15" i="21"/>
  <c r="I15" i="21"/>
  <c r="K15" i="21"/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 l="1"/>
  <c r="C22" i="23"/>
  <c r="C12" i="32" l="1"/>
  <c r="E14" i="57" l="1"/>
  <c r="D14" i="57"/>
  <c r="C14" i="57"/>
  <c r="B14" i="57"/>
  <c r="H24" i="39" l="1"/>
  <c r="H18" i="39"/>
  <c r="H19" i="39"/>
  <c r="H20" i="39"/>
  <c r="H21" i="39"/>
  <c r="H22" i="39"/>
  <c r="H23" i="39"/>
  <c r="H17" i="39"/>
  <c r="H16" i="39"/>
  <c r="H15" i="39"/>
  <c r="H14" i="39"/>
  <c r="H13" i="39"/>
  <c r="H12" i="39"/>
  <c r="H11" i="39"/>
  <c r="H10" i="39"/>
  <c r="H9" i="39"/>
  <c r="G23" i="39"/>
  <c r="G22" i="39"/>
  <c r="G21" i="39"/>
  <c r="G18" i="39"/>
  <c r="G19" i="39"/>
  <c r="G20" i="39"/>
  <c r="G17" i="39"/>
  <c r="G16" i="39"/>
  <c r="G15" i="39"/>
  <c r="G14" i="39"/>
  <c r="G13" i="39"/>
  <c r="G12" i="39"/>
  <c r="G11" i="39"/>
  <c r="G10" i="39"/>
  <c r="G24" i="39" s="1"/>
  <c r="G9" i="39"/>
  <c r="E23" i="39"/>
  <c r="E22" i="39"/>
  <c r="E21" i="39"/>
  <c r="E20" i="39"/>
  <c r="E19" i="39"/>
  <c r="E16" i="39"/>
  <c r="E17" i="39"/>
  <c r="E18" i="39"/>
  <c r="E15" i="39"/>
  <c r="E14" i="39"/>
  <c r="E13" i="39"/>
  <c r="E12" i="39"/>
  <c r="E11" i="39"/>
  <c r="E10" i="39"/>
  <c r="E9" i="39"/>
  <c r="C23" i="39"/>
  <c r="C17" i="39"/>
  <c r="C18" i="39"/>
  <c r="C19" i="39"/>
  <c r="C20" i="39"/>
  <c r="C21" i="39"/>
  <c r="C22" i="39"/>
  <c r="C16" i="39"/>
  <c r="C15" i="39"/>
  <c r="C14" i="39"/>
  <c r="C13" i="39"/>
  <c r="C12" i="39"/>
  <c r="C11" i="39"/>
  <c r="C10" i="39"/>
  <c r="C24" i="39" s="1"/>
  <c r="C9" i="39"/>
  <c r="G24" i="15"/>
  <c r="G23" i="15"/>
  <c r="G22" i="15"/>
  <c r="G21" i="15"/>
  <c r="G20" i="15"/>
  <c r="G19" i="15"/>
  <c r="G18" i="15"/>
  <c r="G17" i="15"/>
  <c r="G15" i="15"/>
  <c r="G16" i="15"/>
  <c r="G14" i="15"/>
  <c r="G13" i="15"/>
  <c r="G12" i="15"/>
  <c r="G11" i="15"/>
  <c r="G10" i="15"/>
  <c r="G9" i="15"/>
  <c r="E24" i="15"/>
  <c r="E23" i="15"/>
  <c r="E22" i="15"/>
  <c r="E20" i="15"/>
  <c r="E21" i="15"/>
  <c r="E19" i="15"/>
  <c r="E18" i="15"/>
  <c r="E17" i="15"/>
  <c r="E16" i="15"/>
  <c r="E15" i="15"/>
  <c r="E12" i="15"/>
  <c r="E13" i="15"/>
  <c r="E14" i="15"/>
  <c r="E11" i="15"/>
  <c r="E10" i="15"/>
  <c r="E9" i="15"/>
  <c r="C24" i="15"/>
  <c r="C20" i="15"/>
  <c r="C21" i="15"/>
  <c r="C22" i="15"/>
  <c r="C23" i="15"/>
  <c r="C19" i="15"/>
  <c r="C18" i="15"/>
  <c r="C17" i="15"/>
  <c r="C16" i="15"/>
  <c r="C15" i="15"/>
  <c r="C14" i="15"/>
  <c r="C13" i="15"/>
  <c r="C12" i="15"/>
  <c r="C11" i="15"/>
  <c r="C10" i="15"/>
  <c r="C9" i="15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9" i="16"/>
  <c r="I24" i="16"/>
  <c r="I22" i="16"/>
  <c r="I23" i="16"/>
  <c r="I21" i="16"/>
  <c r="I20" i="16"/>
  <c r="I19" i="16"/>
  <c r="I18" i="16"/>
  <c r="I17" i="16"/>
  <c r="I16" i="16"/>
  <c r="I15" i="16"/>
  <c r="I14" i="16"/>
  <c r="I13" i="16"/>
  <c r="I12" i="16"/>
  <c r="I10" i="16"/>
  <c r="I11" i="16"/>
  <c r="I9" i="16"/>
  <c r="G24" i="16"/>
  <c r="G23" i="16"/>
  <c r="G16" i="16"/>
  <c r="G17" i="16"/>
  <c r="G18" i="16"/>
  <c r="G19" i="16"/>
  <c r="G20" i="16"/>
  <c r="G21" i="16"/>
  <c r="G22" i="16"/>
  <c r="G15" i="16"/>
  <c r="G10" i="16"/>
  <c r="G11" i="16"/>
  <c r="G12" i="16"/>
  <c r="G13" i="16"/>
  <c r="G14" i="16"/>
  <c r="G9" i="16"/>
  <c r="C24" i="16"/>
  <c r="C21" i="16"/>
  <c r="C22" i="16"/>
  <c r="C23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K24" i="17"/>
  <c r="K23" i="17"/>
  <c r="K22" i="17"/>
  <c r="K21" i="17"/>
  <c r="K20" i="17"/>
  <c r="K19" i="17"/>
  <c r="K15" i="17"/>
  <c r="K16" i="17"/>
  <c r="K17" i="17"/>
  <c r="K18" i="17"/>
  <c r="K14" i="17"/>
  <c r="K13" i="17"/>
  <c r="K12" i="17"/>
  <c r="K11" i="17"/>
  <c r="K10" i="17"/>
  <c r="K9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E24" i="39" l="1"/>
  <c r="G9" i="17"/>
  <c r="E24" i="17"/>
  <c r="E23" i="17"/>
  <c r="E22" i="17"/>
  <c r="E21" i="17"/>
  <c r="E20" i="17"/>
  <c r="E19" i="17"/>
  <c r="E18" i="17"/>
  <c r="E17" i="17"/>
  <c r="E15" i="17"/>
  <c r="E16" i="17"/>
  <c r="E14" i="17"/>
  <c r="E13" i="17"/>
  <c r="E12" i="17"/>
  <c r="E10" i="17"/>
  <c r="E11" i="17"/>
  <c r="E9" i="17"/>
  <c r="C24" i="17"/>
  <c r="C23" i="17"/>
  <c r="C22" i="17"/>
  <c r="C21" i="17"/>
  <c r="C20" i="17"/>
  <c r="C19" i="17"/>
  <c r="C18" i="17"/>
  <c r="C17" i="17"/>
  <c r="C14" i="17"/>
  <c r="C15" i="17"/>
  <c r="C16" i="17"/>
  <c r="C13" i="17"/>
  <c r="C12" i="17"/>
  <c r="C11" i="17"/>
  <c r="C10" i="17"/>
  <c r="C9" i="17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9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24" i="10" s="1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24" i="10" s="1"/>
  <c r="C23" i="10"/>
  <c r="I23" i="10" s="1"/>
  <c r="C22" i="10"/>
  <c r="I22" i="10" s="1"/>
  <c r="C21" i="10"/>
  <c r="I21" i="10" s="1"/>
  <c r="C20" i="10"/>
  <c r="I20" i="10" s="1"/>
  <c r="C19" i="10"/>
  <c r="I19" i="10" s="1"/>
  <c r="C18" i="10"/>
  <c r="I18" i="10" s="1"/>
  <c r="C17" i="10"/>
  <c r="I17" i="10" s="1"/>
  <c r="C16" i="10"/>
  <c r="I16" i="10" s="1"/>
  <c r="C15" i="10"/>
  <c r="I15" i="10" s="1"/>
  <c r="C14" i="10"/>
  <c r="I14" i="10" s="1"/>
  <c r="C13" i="10"/>
  <c r="I13" i="10" s="1"/>
  <c r="C12" i="10"/>
  <c r="I12" i="10" s="1"/>
  <c r="C11" i="10"/>
  <c r="I11" i="10" s="1"/>
  <c r="C10" i="10"/>
  <c r="I10" i="10" s="1"/>
  <c r="C9" i="10"/>
  <c r="C24" i="10" s="1"/>
  <c r="I24" i="10" s="1"/>
  <c r="I24" i="8"/>
  <c r="I23" i="8"/>
  <c r="I22" i="8"/>
  <c r="I21" i="8"/>
  <c r="I19" i="8"/>
  <c r="I20" i="8"/>
  <c r="I18" i="8"/>
  <c r="I17" i="8"/>
  <c r="I16" i="8"/>
  <c r="I15" i="8"/>
  <c r="I14" i="8"/>
  <c r="I13" i="8"/>
  <c r="I12" i="8"/>
  <c r="I11" i="8"/>
  <c r="I10" i="8"/>
  <c r="I9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I9" i="10" l="1"/>
  <c r="K24" i="9"/>
  <c r="K21" i="9"/>
  <c r="K22" i="9"/>
  <c r="K23" i="9"/>
  <c r="K20" i="9"/>
  <c r="K19" i="9"/>
  <c r="K18" i="9"/>
  <c r="K17" i="9"/>
  <c r="K16" i="9"/>
  <c r="K15" i="9"/>
  <c r="K14" i="9"/>
  <c r="K13" i="9"/>
  <c r="K12" i="9"/>
  <c r="K11" i="9"/>
  <c r="K10" i="9"/>
  <c r="K9" i="9"/>
  <c r="I24" i="9"/>
  <c r="I22" i="9"/>
  <c r="I23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G24" i="9"/>
  <c r="G22" i="9"/>
  <c r="G23" i="9"/>
  <c r="G21" i="9"/>
  <c r="G20" i="9"/>
  <c r="G19" i="9"/>
  <c r="G18" i="9"/>
  <c r="G17" i="9"/>
  <c r="G16" i="9"/>
  <c r="G15" i="9"/>
  <c r="G14" i="9"/>
  <c r="G13" i="9"/>
  <c r="G11" i="9"/>
  <c r="G12" i="9"/>
  <c r="G10" i="9"/>
  <c r="G9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9" i="12"/>
  <c r="F24" i="12"/>
  <c r="E23" i="12"/>
  <c r="J23" i="12" s="1"/>
  <c r="E22" i="12"/>
  <c r="J22" i="12" s="1"/>
  <c r="E21" i="12"/>
  <c r="J21" i="12" s="1"/>
  <c r="E19" i="12"/>
  <c r="J19" i="12" s="1"/>
  <c r="E20" i="12"/>
  <c r="J20" i="12" s="1"/>
  <c r="E17" i="12"/>
  <c r="J17" i="12" s="1"/>
  <c r="E15" i="12"/>
  <c r="J15" i="12" s="1"/>
  <c r="E16" i="12"/>
  <c r="J16" i="12" s="1"/>
  <c r="E18" i="12"/>
  <c r="J18" i="12" s="1"/>
  <c r="E14" i="12"/>
  <c r="J14" i="12" s="1"/>
  <c r="E13" i="12"/>
  <c r="J13" i="12" s="1"/>
  <c r="E12" i="12"/>
  <c r="J12" i="12" s="1"/>
  <c r="E11" i="12"/>
  <c r="J11" i="12" s="1"/>
  <c r="E10" i="12"/>
  <c r="J10" i="12" s="1"/>
  <c r="E9" i="12"/>
  <c r="J9" i="12" s="1"/>
  <c r="D24" i="12"/>
  <c r="B24" i="12"/>
  <c r="H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F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D24" i="11"/>
  <c r="E23" i="11"/>
  <c r="E22" i="11"/>
  <c r="E21" i="11"/>
  <c r="E20" i="11"/>
  <c r="E19" i="11"/>
  <c r="E18" i="11"/>
  <c r="E17" i="11"/>
  <c r="E16" i="11"/>
  <c r="E15" i="11"/>
  <c r="E14" i="11"/>
  <c r="E11" i="11"/>
  <c r="E12" i="11"/>
  <c r="E13" i="11"/>
  <c r="E10" i="11"/>
  <c r="E9" i="11"/>
  <c r="B24" i="11"/>
  <c r="C23" i="11"/>
  <c r="C22" i="11"/>
  <c r="C21" i="11"/>
  <c r="C20" i="11"/>
  <c r="C18" i="11"/>
  <c r="C19" i="11"/>
  <c r="C17" i="11"/>
  <c r="C16" i="11"/>
  <c r="C15" i="11"/>
  <c r="C14" i="11"/>
  <c r="C13" i="11"/>
  <c r="C12" i="11"/>
  <c r="C11" i="11"/>
  <c r="C10" i="11"/>
  <c r="C9" i="11"/>
  <c r="J24" i="12" l="1"/>
  <c r="E24" i="12"/>
  <c r="E24" i="11"/>
  <c r="G24" i="11"/>
  <c r="I24" i="11"/>
  <c r="I24" i="12"/>
  <c r="C24" i="11"/>
  <c r="F24" i="39"/>
  <c r="D24" i="39"/>
  <c r="B24" i="39"/>
  <c r="F24" i="15"/>
  <c r="D24" i="15"/>
  <c r="B24" i="15"/>
  <c r="J24" i="16"/>
  <c r="H24" i="16"/>
  <c r="F24" i="16"/>
  <c r="D24" i="16"/>
  <c r="B24" i="16"/>
  <c r="J24" i="17"/>
  <c r="H24" i="17"/>
  <c r="F24" i="17"/>
  <c r="D24" i="17"/>
  <c r="B24" i="17"/>
  <c r="F24" i="10"/>
  <c r="D24" i="10"/>
  <c r="B24" i="10"/>
  <c r="H24" i="10" s="1"/>
  <c r="H24" i="8"/>
  <c r="F24" i="8"/>
  <c r="D24" i="8"/>
  <c r="B24" i="8"/>
  <c r="J24" i="9"/>
  <c r="H24" i="9"/>
  <c r="F24" i="9"/>
  <c r="D24" i="9"/>
  <c r="B24" i="9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9" i="3"/>
  <c r="H24" i="3" s="1"/>
  <c r="G24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9" i="3"/>
  <c r="F24" i="3"/>
  <c r="E24" i="3"/>
  <c r="D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C24" i="3"/>
  <c r="B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H26" i="4"/>
  <c r="I26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11" i="4"/>
  <c r="G26" i="4"/>
  <c r="F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E26" i="4"/>
  <c r="D26" i="4"/>
  <c r="E24" i="4"/>
  <c r="E25" i="4"/>
  <c r="E23" i="4"/>
  <c r="E22" i="4"/>
  <c r="E21" i="4"/>
  <c r="E20" i="4"/>
  <c r="E19" i="4"/>
  <c r="E17" i="4"/>
  <c r="E18" i="4"/>
  <c r="E16" i="4"/>
  <c r="E12" i="4"/>
  <c r="E13" i="4"/>
  <c r="E14" i="4"/>
  <c r="E15" i="4"/>
  <c r="E11" i="4"/>
  <c r="B26" i="4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4" i="1" s="1"/>
  <c r="F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4" i="1" s="1"/>
  <c r="D24" i="1"/>
  <c r="C10" i="1"/>
  <c r="I10" i="1" s="1"/>
  <c r="C11" i="1"/>
  <c r="I11" i="1" s="1"/>
  <c r="C12" i="1"/>
  <c r="I12" i="1" s="1"/>
  <c r="C13" i="1"/>
  <c r="I13" i="1" s="1"/>
  <c r="C14" i="1"/>
  <c r="I14" i="1" s="1"/>
  <c r="C15" i="1"/>
  <c r="I15" i="1" s="1"/>
  <c r="C16" i="1"/>
  <c r="I16" i="1" s="1"/>
  <c r="C17" i="1"/>
  <c r="I17" i="1" s="1"/>
  <c r="C18" i="1"/>
  <c r="I18" i="1" s="1"/>
  <c r="C19" i="1"/>
  <c r="I19" i="1" s="1"/>
  <c r="C20" i="1"/>
  <c r="I20" i="1" s="1"/>
  <c r="C21" i="1"/>
  <c r="C22" i="1"/>
  <c r="I22" i="1" s="1"/>
  <c r="C23" i="1"/>
  <c r="I23" i="1" s="1"/>
  <c r="C9" i="1"/>
  <c r="B24" i="1"/>
  <c r="I21" i="1" l="1"/>
  <c r="H24" i="1"/>
  <c r="C24" i="1"/>
  <c r="I9" i="1"/>
  <c r="I24" i="1" s="1"/>
  <c r="K24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9" i="2"/>
  <c r="J24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9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H24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 l="1"/>
  <c r="G11" i="2"/>
  <c r="G10" i="2"/>
  <c r="G9" i="2"/>
  <c r="F24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D24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B24" i="2"/>
  <c r="G24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9" i="24"/>
  <c r="F24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9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D24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B24" i="24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10" i="6"/>
  <c r="D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B25" i="6"/>
  <c r="F25" i="6" l="1"/>
  <c r="C25" i="6"/>
  <c r="G24" i="19"/>
  <c r="F24" i="20" l="1"/>
  <c r="E24" i="20"/>
  <c r="D24" i="20"/>
  <c r="C24" i="20"/>
  <c r="B24" i="20"/>
  <c r="H10" i="29" l="1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9" i="29"/>
  <c r="H24" i="29" s="1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24" i="29" s="1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24" i="29" s="1"/>
  <c r="C23" i="29"/>
  <c r="I23" i="29" s="1"/>
  <c r="C22" i="29"/>
  <c r="I22" i="29" s="1"/>
  <c r="C20" i="29"/>
  <c r="I20" i="29" s="1"/>
  <c r="C19" i="29"/>
  <c r="I19" i="29" s="1"/>
  <c r="C18" i="29"/>
  <c r="I18" i="29" s="1"/>
  <c r="C17" i="29"/>
  <c r="I17" i="29" s="1"/>
  <c r="C16" i="29"/>
  <c r="I16" i="29" s="1"/>
  <c r="C15" i="29"/>
  <c r="I15" i="29" s="1"/>
  <c r="C14" i="29"/>
  <c r="I14" i="29" s="1"/>
  <c r="C12" i="29"/>
  <c r="I12" i="29" s="1"/>
  <c r="C11" i="29"/>
  <c r="I11" i="29" s="1"/>
  <c r="C10" i="29"/>
  <c r="I10" i="29" s="1"/>
  <c r="C9" i="29"/>
  <c r="I9" i="29" s="1"/>
  <c r="C21" i="29"/>
  <c r="I21" i="29" s="1"/>
  <c r="C13" i="29"/>
  <c r="I13" i="29" s="1"/>
  <c r="F24" i="29"/>
  <c r="D24" i="29"/>
  <c r="B24" i="29"/>
  <c r="G25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10" i="7"/>
  <c r="F25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10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D25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B25" i="7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11" i="5"/>
  <c r="F26" i="5" s="1"/>
  <c r="D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6" i="5" s="1"/>
  <c r="I24" i="29" l="1"/>
  <c r="C24" i="29"/>
  <c r="C25" i="5"/>
  <c r="G25" i="5" s="1"/>
  <c r="C24" i="5"/>
  <c r="G24" i="5" s="1"/>
  <c r="C23" i="5"/>
  <c r="G23" i="5" s="1"/>
  <c r="C22" i="5"/>
  <c r="G22" i="5" s="1"/>
  <c r="C21" i="5"/>
  <c r="G21" i="5" s="1"/>
  <c r="C20" i="5"/>
  <c r="G20" i="5" s="1"/>
  <c r="C19" i="5"/>
  <c r="G19" i="5" s="1"/>
  <c r="C18" i="5"/>
  <c r="G18" i="5" s="1"/>
  <c r="C17" i="5"/>
  <c r="G17" i="5" s="1"/>
  <c r="C16" i="5"/>
  <c r="G16" i="5" s="1"/>
  <c r="C15" i="5"/>
  <c r="G15" i="5" s="1"/>
  <c r="C14" i="5"/>
  <c r="G14" i="5" s="1"/>
  <c r="C13" i="5"/>
  <c r="G13" i="5" s="1"/>
  <c r="C12" i="5"/>
  <c r="G12" i="5" s="1"/>
  <c r="C11" i="5"/>
  <c r="G11" i="5" s="1"/>
  <c r="C26" i="5" l="1"/>
  <c r="G26" i="5" s="1"/>
  <c r="B26" i="5"/>
  <c r="F11" i="13"/>
  <c r="F12" i="13"/>
  <c r="F13" i="13"/>
  <c r="F14" i="13"/>
  <c r="F15" i="13"/>
  <c r="F16" i="13"/>
  <c r="F10" i="13"/>
  <c r="E11" i="13"/>
  <c r="E12" i="13"/>
  <c r="E13" i="13"/>
  <c r="E14" i="13"/>
  <c r="E15" i="13"/>
  <c r="E16" i="13"/>
  <c r="E10" i="13"/>
  <c r="D17" i="13"/>
  <c r="E17" i="13" s="1"/>
  <c r="B7" i="23"/>
  <c r="C15" i="13"/>
  <c r="C13" i="13"/>
  <c r="C12" i="13"/>
  <c r="B17" i="13"/>
  <c r="F17" i="13" s="1"/>
  <c r="H10" i="18"/>
  <c r="H11" i="18"/>
  <c r="H24" i="18" s="1"/>
  <c r="H12" i="18"/>
  <c r="H13" i="18"/>
  <c r="H14" i="18"/>
  <c r="H15" i="18"/>
  <c r="H16" i="18"/>
  <c r="H17" i="18"/>
  <c r="H18" i="18"/>
  <c r="H19" i="18"/>
  <c r="H20" i="18"/>
  <c r="H21" i="18"/>
  <c r="H22" i="18"/>
  <c r="H23" i="18"/>
  <c r="H9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24" i="18" s="1"/>
  <c r="G9" i="18"/>
  <c r="F24" i="18"/>
  <c r="E23" i="18"/>
  <c r="I23" i="18" s="1"/>
  <c r="E22" i="18"/>
  <c r="E21" i="18"/>
  <c r="I21" i="18" s="1"/>
  <c r="E20" i="18"/>
  <c r="E19" i="18"/>
  <c r="I19" i="18" s="1"/>
  <c r="E18" i="18"/>
  <c r="E17" i="18"/>
  <c r="I17" i="18" s="1"/>
  <c r="E16" i="18"/>
  <c r="E15" i="18"/>
  <c r="I15" i="18" s="1"/>
  <c r="E14" i="18"/>
  <c r="E13" i="18"/>
  <c r="I13" i="18" s="1"/>
  <c r="E12" i="18"/>
  <c r="E11" i="18"/>
  <c r="I11" i="18" s="1"/>
  <c r="E10" i="18"/>
  <c r="E9" i="18"/>
  <c r="E24" i="18" s="1"/>
  <c r="D24" i="18"/>
  <c r="C23" i="18"/>
  <c r="C22" i="18"/>
  <c r="I22" i="18" s="1"/>
  <c r="C21" i="18"/>
  <c r="C20" i="18"/>
  <c r="I20" i="18" s="1"/>
  <c r="C19" i="18"/>
  <c r="C18" i="18"/>
  <c r="I18" i="18" s="1"/>
  <c r="C17" i="18"/>
  <c r="C16" i="18"/>
  <c r="I16" i="18" s="1"/>
  <c r="C15" i="18"/>
  <c r="C14" i="18"/>
  <c r="I14" i="18" s="1"/>
  <c r="C13" i="18"/>
  <c r="C12" i="18"/>
  <c r="I12" i="18" s="1"/>
  <c r="C11" i="18"/>
  <c r="C10" i="18"/>
  <c r="I10" i="18" s="1"/>
  <c r="C9" i="18"/>
  <c r="I9" i="18" s="1"/>
  <c r="B24" i="18"/>
  <c r="I17" i="32"/>
  <c r="I13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9" i="32"/>
  <c r="J24" i="32" s="1"/>
  <c r="I10" i="32"/>
  <c r="I11" i="32"/>
  <c r="I12" i="32"/>
  <c r="I14" i="32"/>
  <c r="I15" i="32"/>
  <c r="I16" i="32"/>
  <c r="I18" i="32"/>
  <c r="I19" i="32"/>
  <c r="I20" i="32"/>
  <c r="I21" i="32"/>
  <c r="I22" i="32"/>
  <c r="I23" i="32"/>
  <c r="I9" i="32"/>
  <c r="I24" i="32" l="1"/>
  <c r="D7" i="23"/>
  <c r="I24" i="18"/>
  <c r="C24" i="18"/>
  <c r="H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24" i="32" s="1"/>
  <c r="F24" i="32"/>
  <c r="E10" i="32"/>
  <c r="E11" i="32"/>
  <c r="E12" i="32"/>
  <c r="K12" i="32" s="1"/>
  <c r="B10" i="23" s="1"/>
  <c r="D10" i="23" s="1"/>
  <c r="E13" i="32"/>
  <c r="E14" i="32"/>
  <c r="E15" i="32"/>
  <c r="E16" i="32"/>
  <c r="E17" i="32"/>
  <c r="E18" i="32"/>
  <c r="E19" i="32"/>
  <c r="E20" i="32"/>
  <c r="E21" i="32"/>
  <c r="E22" i="32"/>
  <c r="E23" i="32"/>
  <c r="E9" i="32"/>
  <c r="E24" i="32" s="1"/>
  <c r="D24" i="32"/>
  <c r="B24" i="32" l="1"/>
  <c r="C23" i="32"/>
  <c r="K23" i="32" s="1"/>
  <c r="B21" i="23" s="1"/>
  <c r="D21" i="23" s="1"/>
  <c r="C22" i="32"/>
  <c r="K22" i="32" s="1"/>
  <c r="B20" i="23" s="1"/>
  <c r="D20" i="23" s="1"/>
  <c r="C21" i="32"/>
  <c r="K21" i="32" s="1"/>
  <c r="B19" i="23" s="1"/>
  <c r="D19" i="23" s="1"/>
  <c r="C20" i="32"/>
  <c r="K20" i="32" s="1"/>
  <c r="B18" i="23" s="1"/>
  <c r="D18" i="23" s="1"/>
  <c r="C19" i="32"/>
  <c r="K19" i="32" s="1"/>
  <c r="B17" i="23" s="1"/>
  <c r="D17" i="23" s="1"/>
  <c r="C18" i="32"/>
  <c r="K18" i="32" s="1"/>
  <c r="B16" i="23" s="1"/>
  <c r="D16" i="23" s="1"/>
  <c r="C17" i="32"/>
  <c r="K17" i="32" s="1"/>
  <c r="B15" i="23" s="1"/>
  <c r="D15" i="23" s="1"/>
  <c r="C16" i="32"/>
  <c r="K16" i="32" s="1"/>
  <c r="B14" i="23" s="1"/>
  <c r="D14" i="23" s="1"/>
  <c r="C15" i="32"/>
  <c r="K15" i="32" s="1"/>
  <c r="B13" i="23" s="1"/>
  <c r="D13" i="23" s="1"/>
  <c r="C14" i="32"/>
  <c r="K14" i="32" s="1"/>
  <c r="B12" i="23" s="1"/>
  <c r="D12" i="23" s="1"/>
  <c r="C13" i="32"/>
  <c r="K13" i="32" s="1"/>
  <c r="B11" i="23" s="1"/>
  <c r="D11" i="23" s="1"/>
  <c r="C11" i="32"/>
  <c r="K11" i="32" s="1"/>
  <c r="B9" i="23" s="1"/>
  <c r="D9" i="23" s="1"/>
  <c r="C10" i="32"/>
  <c r="K10" i="32" s="1"/>
  <c r="B8" i="23" s="1"/>
  <c r="C9" i="32"/>
  <c r="D8" i="23" l="1"/>
  <c r="B22" i="23"/>
  <c r="D22" i="23" s="1"/>
  <c r="C24" i="32"/>
  <c r="K9" i="32"/>
  <c r="K24" i="32" s="1"/>
  <c r="J24" i="22"/>
  <c r="H10" i="22" l="1"/>
  <c r="H11" i="22"/>
  <c r="H24" i="22" s="1"/>
  <c r="H12" i="22"/>
  <c r="H13" i="22"/>
  <c r="H14" i="22"/>
  <c r="H15" i="22"/>
  <c r="H16" i="22"/>
  <c r="H17" i="22"/>
  <c r="H18" i="22"/>
  <c r="H19" i="22"/>
  <c r="H20" i="22"/>
  <c r="H21" i="22"/>
  <c r="H22" i="22"/>
  <c r="H23" i="22"/>
  <c r="H9" i="22"/>
  <c r="G23" i="22"/>
  <c r="I23" i="22" s="1"/>
  <c r="K23" i="22" s="1"/>
  <c r="G22" i="22"/>
  <c r="G21" i="22"/>
  <c r="I21" i="22" s="1"/>
  <c r="K21" i="22" s="1"/>
  <c r="G20" i="22"/>
  <c r="G19" i="22"/>
  <c r="I19" i="22" s="1"/>
  <c r="K19" i="22" s="1"/>
  <c r="G18" i="22"/>
  <c r="G17" i="22"/>
  <c r="I17" i="22" s="1"/>
  <c r="K17" i="22" s="1"/>
  <c r="G16" i="22"/>
  <c r="G15" i="22"/>
  <c r="I15" i="22" s="1"/>
  <c r="K15" i="22" s="1"/>
  <c r="G14" i="22"/>
  <c r="G13" i="22"/>
  <c r="I13" i="22" s="1"/>
  <c r="K13" i="22" s="1"/>
  <c r="G12" i="22"/>
  <c r="G11" i="22"/>
  <c r="I11" i="22" s="1"/>
  <c r="K11" i="22" s="1"/>
  <c r="G10" i="22"/>
  <c r="G9" i="22"/>
  <c r="G24" i="22" s="1"/>
  <c r="F24" i="22"/>
  <c r="D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C10" i="22"/>
  <c r="I10" i="22" s="1"/>
  <c r="K10" i="22" s="1"/>
  <c r="C11" i="22"/>
  <c r="C12" i="22"/>
  <c r="I12" i="22" s="1"/>
  <c r="K12" i="22" s="1"/>
  <c r="C13" i="22"/>
  <c r="C14" i="22"/>
  <c r="I14" i="22" s="1"/>
  <c r="K14" i="22" s="1"/>
  <c r="C15" i="22"/>
  <c r="C16" i="22"/>
  <c r="I16" i="22" s="1"/>
  <c r="K16" i="22" s="1"/>
  <c r="C17" i="22"/>
  <c r="C18" i="22"/>
  <c r="I18" i="22" s="1"/>
  <c r="K18" i="22" s="1"/>
  <c r="C19" i="22"/>
  <c r="C20" i="22"/>
  <c r="I20" i="22" s="1"/>
  <c r="K20" i="22" s="1"/>
  <c r="C21" i="22"/>
  <c r="C22" i="22"/>
  <c r="I22" i="22" s="1"/>
  <c r="K22" i="22" s="1"/>
  <c r="C23" i="22"/>
  <c r="C9" i="22"/>
  <c r="I9" i="22" s="1"/>
  <c r="B24" i="22"/>
  <c r="E13" i="31"/>
  <c r="D13" i="31"/>
  <c r="C13" i="31"/>
  <c r="H20" i="30"/>
  <c r="G20" i="30"/>
  <c r="F20" i="30"/>
  <c r="E20" i="30"/>
  <c r="D20" i="30"/>
  <c r="C20" i="30"/>
  <c r="F13" i="37"/>
  <c r="E13" i="37"/>
  <c r="D13" i="37"/>
  <c r="C13" i="37"/>
  <c r="B13" i="37"/>
  <c r="I20" i="36"/>
  <c r="H20" i="36"/>
  <c r="G20" i="36"/>
  <c r="F20" i="36"/>
  <c r="E20" i="36"/>
  <c r="D20" i="36"/>
  <c r="C20" i="36"/>
  <c r="B20" i="36"/>
  <c r="G18" i="34"/>
  <c r="F18" i="34"/>
  <c r="E18" i="34"/>
  <c r="D18" i="34"/>
  <c r="I16" i="28"/>
  <c r="H16" i="28"/>
  <c r="F16" i="28"/>
  <c r="E16" i="28"/>
  <c r="K9" i="22" l="1"/>
  <c r="I24" i="22"/>
  <c r="K24" i="22" s="1"/>
  <c r="E24" i="22"/>
  <c r="C24" i="22"/>
  <c r="J22" i="27" l="1"/>
  <c r="I22" i="27"/>
  <c r="H22" i="27"/>
  <c r="G22" i="27"/>
  <c r="F22" i="27"/>
  <c r="E22" i="27"/>
  <c r="D22" i="27"/>
  <c r="C22" i="27"/>
  <c r="F24" i="19" l="1"/>
  <c r="E24" i="19"/>
  <c r="D24" i="19"/>
  <c r="C24" i="19"/>
  <c r="B24" i="19"/>
  <c r="N14" i="17" l="1"/>
  <c r="E60" i="8" l="1"/>
  <c r="E59" i="8"/>
  <c r="E58" i="8"/>
  <c r="E57" i="8"/>
  <c r="E56" i="8"/>
  <c r="E55" i="8"/>
  <c r="E54" i="8"/>
  <c r="E53" i="8"/>
  <c r="E52" i="8"/>
  <c r="E51" i="8"/>
  <c r="E50" i="8"/>
  <c r="E49" i="8"/>
  <c r="E48" i="8"/>
  <c r="E47" i="8"/>
</calcChain>
</file>

<file path=xl/comments1.xml><?xml version="1.0" encoding="utf-8"?>
<comments xmlns="http://schemas.openxmlformats.org/spreadsheetml/2006/main">
  <authors>
    <author>ammar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>ammar: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ammar: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ammar</author>
  </authors>
  <commentList>
    <comment ref="F9" authorId="0">
      <text>
        <r>
          <rPr>
            <b/>
            <sz val="9"/>
            <color indexed="81"/>
            <rFont val="Tahoma"/>
          </rPr>
          <t>ammar: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<sst xmlns="http://schemas.openxmlformats.org/spreadsheetml/2006/main" count="2061" uniqueCount="514">
  <si>
    <t>المجموع</t>
  </si>
  <si>
    <t>Total</t>
  </si>
  <si>
    <t>صلاح الدين</t>
  </si>
  <si>
    <t>ديالى</t>
  </si>
  <si>
    <t>بغداد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</si>
  <si>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</si>
  <si>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</si>
  <si>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</si>
  <si>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</si>
  <si>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</si>
  <si>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</si>
  <si>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</si>
  <si>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</si>
  <si>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</si>
  <si>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Salah AL-Deen</t>
  </si>
  <si>
    <t>Diala</t>
  </si>
  <si>
    <t>Baghdad</t>
  </si>
  <si>
    <t>Al-Najaf</t>
  </si>
  <si>
    <t>Al-Qadisiya</t>
  </si>
  <si>
    <t>Al-Muthanna</t>
  </si>
  <si>
    <t>Thi-Qar</t>
  </si>
  <si>
    <t>Wasit</t>
  </si>
  <si>
    <t>Basrah</t>
  </si>
  <si>
    <t>Babylon</t>
  </si>
  <si>
    <t>Kerbela</t>
  </si>
  <si>
    <t>Maysan</t>
  </si>
  <si>
    <t>Governorate</t>
  </si>
  <si>
    <t>العدد</t>
  </si>
  <si>
    <t>Number</t>
  </si>
  <si>
    <t xml:space="preserve">Cost </t>
  </si>
  <si>
    <t>كركوك</t>
  </si>
  <si>
    <t>Karkuk</t>
  </si>
  <si>
    <t>المادة: تأسيسات كهربائية</t>
  </si>
  <si>
    <t>بوري</t>
  </si>
  <si>
    <t>سنك</t>
  </si>
  <si>
    <t>حمام كامل ملون</t>
  </si>
  <si>
    <t>اخرى</t>
  </si>
  <si>
    <t>طن</t>
  </si>
  <si>
    <t>سركت بريكر</t>
  </si>
  <si>
    <t>خشبية</t>
  </si>
  <si>
    <t>حديدية</t>
  </si>
  <si>
    <t>المنيوم</t>
  </si>
  <si>
    <t>انابيب بلاستيكية</t>
  </si>
  <si>
    <t>حنفيات</t>
  </si>
  <si>
    <t>م</t>
  </si>
  <si>
    <t>m</t>
  </si>
  <si>
    <t>عادي</t>
  </si>
  <si>
    <t>فني</t>
  </si>
  <si>
    <t>بلكات</t>
  </si>
  <si>
    <t>مشطفة</t>
  </si>
  <si>
    <t>سويج رئيسي</t>
  </si>
  <si>
    <t>سويجات</t>
  </si>
  <si>
    <t>المحافظـة</t>
  </si>
  <si>
    <t>المحافظـــة</t>
  </si>
  <si>
    <t>المحافظــــة</t>
  </si>
  <si>
    <t>Table (16)</t>
  </si>
  <si>
    <t>المحافظة</t>
  </si>
  <si>
    <t xml:space="preserve">منهول </t>
  </si>
  <si>
    <t xml:space="preserve">خزان ماء </t>
  </si>
  <si>
    <t>انابيب آهين</t>
  </si>
  <si>
    <t>المحافظــة</t>
  </si>
  <si>
    <t>فرفوري</t>
  </si>
  <si>
    <t>موزائيك</t>
  </si>
  <si>
    <t>موزائيك صب موقعي</t>
  </si>
  <si>
    <t>مرمر</t>
  </si>
  <si>
    <t>سيراميك</t>
  </si>
  <si>
    <t>شتايكر</t>
  </si>
  <si>
    <t>صبات درج</t>
  </si>
  <si>
    <t>خشب</t>
  </si>
  <si>
    <t>عدد</t>
  </si>
  <si>
    <t>لتر</t>
  </si>
  <si>
    <t>متر</t>
  </si>
  <si>
    <t>لباد</t>
  </si>
  <si>
    <t>مبيد حشرات</t>
  </si>
  <si>
    <t>مانع الرطوبة</t>
  </si>
  <si>
    <t>محجر</t>
  </si>
  <si>
    <t>تيل مانع حشرات</t>
  </si>
  <si>
    <t>قير</t>
  </si>
  <si>
    <t>زجاج</t>
  </si>
  <si>
    <t>Table (3)</t>
  </si>
  <si>
    <t>عدد الغرف</t>
  </si>
  <si>
    <t xml:space="preserve">عدد الدكاكين </t>
  </si>
  <si>
    <t>مساحة العرصة</t>
  </si>
  <si>
    <t>مساحة البناء</t>
  </si>
  <si>
    <t>الكلفة التخمينية</t>
  </si>
  <si>
    <t>المحافظــــــــة</t>
  </si>
  <si>
    <t>مساحة البناء (م²)</t>
  </si>
  <si>
    <t xml:space="preserve">الكلفة التخمينية  </t>
  </si>
  <si>
    <t>جديـــــــــــــــــــــــد</t>
  </si>
  <si>
    <t xml:space="preserve">إضافــــــــــــــــــــــــة </t>
  </si>
  <si>
    <t>Table( 2 )</t>
  </si>
  <si>
    <t>Cost</t>
  </si>
  <si>
    <t>Table (15)</t>
  </si>
  <si>
    <t>عمال غير ماهرين</t>
  </si>
  <si>
    <t>عمال شبه ماهرين</t>
  </si>
  <si>
    <t>عمال ماهرين</t>
  </si>
  <si>
    <t>Unskilled Workers</t>
  </si>
  <si>
    <t>Semi Skilled Workers</t>
  </si>
  <si>
    <t>Skilled Workers</t>
  </si>
  <si>
    <t>الاجور</t>
  </si>
  <si>
    <t>Wages</t>
  </si>
  <si>
    <t>جدول رقم (17)</t>
  </si>
  <si>
    <t>Table (17)</t>
  </si>
  <si>
    <t>قيمة المواد الانشائية</t>
  </si>
  <si>
    <t>الأجور المدفوعة</t>
  </si>
  <si>
    <t>الكلفة الكلية</t>
  </si>
  <si>
    <t>Paid wages</t>
  </si>
  <si>
    <t>شيش</t>
  </si>
  <si>
    <t xml:space="preserve">طن </t>
  </si>
  <si>
    <t>Table ( 5 )</t>
  </si>
  <si>
    <t>عدد الطوابق</t>
  </si>
  <si>
    <t>عدد الشقق</t>
  </si>
  <si>
    <t>عدد الدكاكين</t>
  </si>
  <si>
    <t xml:space="preserve">مساحة العرصة </t>
  </si>
  <si>
    <t>Table ( 6 )</t>
  </si>
  <si>
    <t>TOTAL</t>
  </si>
  <si>
    <t>Table ( 7 )</t>
  </si>
  <si>
    <t>Table ( 8 )</t>
  </si>
  <si>
    <t>مقاوم</t>
  </si>
  <si>
    <t>ابيض</t>
  </si>
  <si>
    <t>Table (13)</t>
  </si>
  <si>
    <t>جدول رقم ( 14 )</t>
  </si>
  <si>
    <t xml:space="preserve">Table( 14 ) </t>
  </si>
  <si>
    <t>Bricks</t>
  </si>
  <si>
    <t>عدد المعامل</t>
  </si>
  <si>
    <t>مساحة العرصة (م²)</t>
  </si>
  <si>
    <t xml:space="preserve">  مساحة البناء (  م²)</t>
  </si>
  <si>
    <t>Table ( 11 )</t>
  </si>
  <si>
    <t xml:space="preserve"> جدول ( 12 )</t>
  </si>
  <si>
    <t xml:space="preserve"> Table ( 12 )</t>
  </si>
  <si>
    <t xml:space="preserve">     الكلفة التخمينية   </t>
  </si>
  <si>
    <t xml:space="preserve">الكلفة التخمينية </t>
  </si>
  <si>
    <t xml:space="preserve">  الكلفة التخمينية  </t>
  </si>
  <si>
    <t xml:space="preserve">    الكلفة التخمينية       </t>
  </si>
  <si>
    <t xml:space="preserve">       الكلفة التخمينية            </t>
  </si>
  <si>
    <t xml:space="preserve">الكلفة التخمينية           </t>
  </si>
  <si>
    <t>L</t>
  </si>
  <si>
    <t>(000 I.D.)</t>
  </si>
  <si>
    <t>m²</t>
  </si>
  <si>
    <t>No.</t>
  </si>
  <si>
    <t>m³</t>
  </si>
  <si>
    <t>ton</t>
  </si>
  <si>
    <t xml:space="preserve">Area of Land    </t>
  </si>
  <si>
    <t xml:space="preserve">Area of Building </t>
  </si>
  <si>
    <t xml:space="preserve">Area of Land </t>
  </si>
  <si>
    <t xml:space="preserve">Est. Cost </t>
  </si>
  <si>
    <t xml:space="preserve">      Est. Cost</t>
  </si>
  <si>
    <t>المحافظه</t>
  </si>
  <si>
    <t xml:space="preserve">Building Area </t>
  </si>
  <si>
    <t xml:space="preserve">Land Area </t>
  </si>
  <si>
    <t xml:space="preserve">المحافظــــــــة        </t>
  </si>
  <si>
    <t>Shops</t>
  </si>
  <si>
    <t xml:space="preserve"> Shops</t>
  </si>
  <si>
    <t xml:space="preserve">Est.Cost </t>
  </si>
  <si>
    <t>Stone</t>
  </si>
  <si>
    <t>New Building</t>
  </si>
  <si>
    <t>بناء جديد</t>
  </si>
  <si>
    <t>irons</t>
  </si>
  <si>
    <t>Flats</t>
  </si>
  <si>
    <t>New building</t>
  </si>
  <si>
    <t>New buildings</t>
  </si>
  <si>
    <t xml:space="preserve">خشب صاج    </t>
  </si>
  <si>
    <t xml:space="preserve">خشب جام           </t>
  </si>
  <si>
    <t>Ton</t>
  </si>
  <si>
    <t>Eest.Cost</t>
  </si>
  <si>
    <t>New</t>
  </si>
  <si>
    <t>Rooms</t>
  </si>
  <si>
    <t xml:space="preserve">     No.</t>
  </si>
  <si>
    <t xml:space="preserve">   No.</t>
  </si>
  <si>
    <t xml:space="preserve"> شبابيك</t>
  </si>
  <si>
    <t>Aluminum</t>
  </si>
  <si>
    <t>Wire</t>
  </si>
  <si>
    <t>Wood Jam</t>
  </si>
  <si>
    <t>Iron</t>
  </si>
  <si>
    <t>Normal</t>
  </si>
  <si>
    <t>Other</t>
  </si>
  <si>
    <t>Art</t>
  </si>
  <si>
    <t>Water tank</t>
  </si>
  <si>
    <t>Glass</t>
  </si>
  <si>
    <t>Taps</t>
  </si>
  <si>
    <t xml:space="preserve">تراب         </t>
  </si>
  <si>
    <t xml:space="preserve"> جص</t>
  </si>
  <si>
    <t xml:space="preserve"> تأسيسات صحية            </t>
  </si>
  <si>
    <t xml:space="preserve"> تأسيسات صحية</t>
  </si>
  <si>
    <t xml:space="preserve"> مواد انشائية اخرى</t>
  </si>
  <si>
    <t>Other Constructions Material</t>
  </si>
  <si>
    <t xml:space="preserve"> بلوك        </t>
  </si>
  <si>
    <t xml:space="preserve"> طابوق</t>
  </si>
  <si>
    <t xml:space="preserve"> تأسيسات كهربائية</t>
  </si>
  <si>
    <t xml:space="preserve">        أبواب</t>
  </si>
  <si>
    <t>حصى</t>
  </si>
  <si>
    <t xml:space="preserve"> رمل</t>
  </si>
  <si>
    <t>Sand</t>
  </si>
  <si>
    <t xml:space="preserve"> جدول ( 9 )</t>
  </si>
  <si>
    <t>Table ( 9 )</t>
  </si>
  <si>
    <t xml:space="preserve">Residential </t>
  </si>
  <si>
    <t>Social Purposes</t>
  </si>
  <si>
    <t>السنه</t>
  </si>
  <si>
    <t>دكتات</t>
  </si>
  <si>
    <t>cost</t>
  </si>
  <si>
    <t>هايرب</t>
  </si>
  <si>
    <t xml:space="preserve">المجمـــوع    </t>
  </si>
  <si>
    <t>م²</t>
  </si>
  <si>
    <t>n.</t>
  </si>
  <si>
    <t>الكلفة التخمينيه</t>
  </si>
  <si>
    <t xml:space="preserve">Table 16 </t>
  </si>
  <si>
    <t xml:space="preserve"> تابع جدول رقم (16)</t>
  </si>
  <si>
    <t>cement</t>
  </si>
  <si>
    <t>مساحة العرصة (م)²</t>
  </si>
  <si>
    <t>م³</t>
  </si>
  <si>
    <t>تاسيسات صحية</t>
  </si>
  <si>
    <t>فلنتكـوت عازل</t>
  </si>
  <si>
    <t>عدد الدور المشيده (الف)</t>
  </si>
  <si>
    <t xml:space="preserve"> العمارات السكنيه(عدد) </t>
  </si>
  <si>
    <t>NO.</t>
  </si>
  <si>
    <t>Table(1 )</t>
  </si>
  <si>
    <t>مساحة البناء م²</t>
  </si>
  <si>
    <t>مكسر</t>
  </si>
  <si>
    <t>اسود</t>
  </si>
  <si>
    <t>احمر</t>
  </si>
  <si>
    <t>Ceramics</t>
  </si>
  <si>
    <t>Steiger</t>
  </si>
  <si>
    <t>العدد : بالالف</t>
  </si>
  <si>
    <t>الكلفه:الف دينار</t>
  </si>
  <si>
    <r>
      <t>مساحة العرصة (م</t>
    </r>
    <r>
      <rPr>
        <b/>
        <sz val="11"/>
        <rFont val="Calibri"/>
        <family val="2"/>
      </rPr>
      <t>²)</t>
    </r>
  </si>
  <si>
    <t xml:space="preserve">  الكلفة التخمينية        </t>
  </si>
  <si>
    <t>الاجور:الف دينار</t>
  </si>
  <si>
    <t xml:space="preserve">      عادي</t>
  </si>
  <si>
    <t xml:space="preserve">      عقاري</t>
  </si>
  <si>
    <t xml:space="preserve">     جمهوري</t>
  </si>
  <si>
    <t xml:space="preserve">     حجم كبير</t>
  </si>
  <si>
    <t xml:space="preserve">   حجم متوسط</t>
  </si>
  <si>
    <t xml:space="preserve">    حجم صغير</t>
  </si>
  <si>
    <t xml:space="preserve">Small size   </t>
  </si>
  <si>
    <t xml:space="preserve">     المجموع</t>
  </si>
  <si>
    <t xml:space="preserve">Total      </t>
  </si>
  <si>
    <t xml:space="preserve">       مقطع</t>
  </si>
  <si>
    <t xml:space="preserve">        خام</t>
  </si>
  <si>
    <t xml:space="preserve">Raw       </t>
  </si>
  <si>
    <t xml:space="preserve">      المجموع</t>
  </si>
  <si>
    <t xml:space="preserve">Total         </t>
  </si>
  <si>
    <t>حجر</t>
  </si>
  <si>
    <t xml:space="preserve">Meduim size   </t>
  </si>
  <si>
    <r>
      <t>م</t>
    </r>
    <r>
      <rPr>
        <b/>
        <sz val="11"/>
        <rFont val="Calibri"/>
        <family val="2"/>
      </rPr>
      <t>²</t>
    </r>
  </si>
  <si>
    <r>
      <t>m</t>
    </r>
    <r>
      <rPr>
        <b/>
        <sz val="11"/>
        <rFont val="Calibri"/>
        <family val="2"/>
      </rPr>
      <t>²</t>
    </r>
  </si>
  <si>
    <t xml:space="preserve">      شيلمان</t>
  </si>
  <si>
    <t>الكلفة</t>
  </si>
  <si>
    <t>كلفة</t>
  </si>
  <si>
    <t xml:space="preserve"> الكلفة</t>
  </si>
  <si>
    <t xml:space="preserve">     الكلفة                    </t>
  </si>
  <si>
    <t xml:space="preserve">       سلك</t>
  </si>
  <si>
    <t xml:space="preserve">     مراحيض</t>
  </si>
  <si>
    <t xml:space="preserve">Toilets     </t>
  </si>
  <si>
    <t xml:space="preserve">       بانيو</t>
  </si>
  <si>
    <t xml:space="preserve">     مغاسل</t>
  </si>
  <si>
    <r>
      <t>م</t>
    </r>
    <r>
      <rPr>
        <b/>
        <sz val="11"/>
        <rFont val="Aharoni"/>
        <charset val="177"/>
      </rPr>
      <t>²</t>
    </r>
  </si>
  <si>
    <r>
      <t>m</t>
    </r>
    <r>
      <rPr>
        <b/>
        <sz val="11"/>
        <rFont val="Aharoni"/>
        <charset val="177"/>
      </rPr>
      <t>²</t>
    </r>
  </si>
  <si>
    <r>
      <t>م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</si>
  <si>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</si>
  <si>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Calibri"/>
        <family val="2"/>
      </rPr>
      <t>³</t>
    </r>
  </si>
  <si>
    <t xml:space="preserve">   سقوف ثانويه</t>
  </si>
  <si>
    <t xml:space="preserve">   شبابيك الدكتات</t>
  </si>
  <si>
    <t>Republican</t>
  </si>
  <si>
    <t>Real Estate</t>
  </si>
  <si>
    <t>Metal</t>
  </si>
  <si>
    <t>pluge</t>
  </si>
  <si>
    <t>Herp</t>
  </si>
  <si>
    <t>Dust</t>
  </si>
  <si>
    <t>Secondary ceilings</t>
  </si>
  <si>
    <t xml:space="preserve">         كتائب الشبابيك</t>
  </si>
  <si>
    <t>Resistant</t>
  </si>
  <si>
    <t xml:space="preserve">Bath tub    </t>
  </si>
  <si>
    <t>Snik</t>
  </si>
  <si>
    <t>Rubber</t>
  </si>
  <si>
    <t xml:space="preserve">دور سكن  </t>
  </si>
  <si>
    <t xml:space="preserve">Dwelling </t>
  </si>
  <si>
    <t xml:space="preserve">العمارات السكنية </t>
  </si>
  <si>
    <t xml:space="preserve">العمارات التجارية </t>
  </si>
  <si>
    <t>Commercial</t>
  </si>
  <si>
    <t xml:space="preserve">أبنية  صناعية  </t>
  </si>
  <si>
    <t>Industrial</t>
  </si>
  <si>
    <t xml:space="preserve">أبنية  تجارية </t>
  </si>
  <si>
    <t>أبنية اجتماعية</t>
  </si>
  <si>
    <t xml:space="preserve">المجموع     </t>
  </si>
  <si>
    <t>انواع البناء</t>
  </si>
  <si>
    <t xml:space="preserve">con. ( 16 )              Other constuction material                                           </t>
  </si>
  <si>
    <t xml:space="preserve">     قيمه المواد الانشائيه(مليون)</t>
  </si>
  <si>
    <t>الكلفة الكلية (مليون )</t>
  </si>
  <si>
    <t xml:space="preserve"> الاجور المدفوعه    (مليون)</t>
  </si>
  <si>
    <t xml:space="preserve"> بلاط الارضية     (كاشي)</t>
  </si>
  <si>
    <t>Million</t>
  </si>
  <si>
    <t>Thrmeston</t>
  </si>
  <si>
    <t>Grit</t>
  </si>
  <si>
    <t>Marble</t>
  </si>
  <si>
    <t>Mosaic</t>
  </si>
  <si>
    <t>Floor tile</t>
  </si>
  <si>
    <t xml:space="preserve">Mosaic </t>
  </si>
  <si>
    <t xml:space="preserve">cost </t>
  </si>
  <si>
    <t>Iron fence</t>
  </si>
  <si>
    <t>Theil prevent insects</t>
  </si>
  <si>
    <t>Tar</t>
  </si>
  <si>
    <t>Duct</t>
  </si>
  <si>
    <t>Insecticide</t>
  </si>
  <si>
    <t>Flintcoat</t>
  </si>
  <si>
    <t>Duct windows</t>
  </si>
  <si>
    <t>Cast iron</t>
  </si>
  <si>
    <t>Wooden</t>
  </si>
  <si>
    <t>Tube</t>
  </si>
  <si>
    <t>Key</t>
  </si>
  <si>
    <t>Keys</t>
  </si>
  <si>
    <t>Washbasin</t>
  </si>
  <si>
    <t>Keyhole</t>
  </si>
  <si>
    <t>Bidet</t>
  </si>
  <si>
    <t>Slighted tubes</t>
  </si>
  <si>
    <t xml:space="preserve">Colored Bathroom </t>
  </si>
  <si>
    <t>Factories</t>
  </si>
  <si>
    <t>Addition</t>
  </si>
  <si>
    <t xml:space="preserve">  Rooms</t>
  </si>
  <si>
    <t>Red</t>
  </si>
  <si>
    <t>Black</t>
  </si>
  <si>
    <t>White</t>
  </si>
  <si>
    <t>Wood saj</t>
  </si>
  <si>
    <t>Wood</t>
  </si>
  <si>
    <t>Moisture Anti</t>
  </si>
  <si>
    <t xml:space="preserve">Big size   </t>
  </si>
  <si>
    <t xml:space="preserve">Broken    </t>
  </si>
  <si>
    <t>Broken</t>
  </si>
  <si>
    <t>ملاحظة :</t>
  </si>
  <si>
    <t>اضافات البناء</t>
  </si>
  <si>
    <t>أضافات البناء</t>
  </si>
  <si>
    <t>العدد : الف طابوقه</t>
  </si>
  <si>
    <t>الكلفه : الف دينار</t>
  </si>
  <si>
    <t>العدد : الف بلوكه</t>
  </si>
  <si>
    <t>Conclusively   cycle</t>
  </si>
  <si>
    <t xml:space="preserve">الكلفة : الف دينار </t>
  </si>
  <si>
    <t>Dwellings Built</t>
  </si>
  <si>
    <t>AverageNumber of Employees</t>
  </si>
  <si>
    <t>Value ​​of Construction materials</t>
  </si>
  <si>
    <t>Residential Buildings</t>
  </si>
  <si>
    <t>WagesPaid</t>
  </si>
  <si>
    <t>Type of  Building</t>
  </si>
  <si>
    <t xml:space="preserve">New Dwellings </t>
  </si>
  <si>
    <t>Table (4)   Additions</t>
  </si>
  <si>
    <t>Flour</t>
  </si>
  <si>
    <t>Additions</t>
  </si>
  <si>
    <t xml:space="preserve">  Cement Bricks</t>
  </si>
  <si>
    <t xml:space="preserve">Con. ( 16)  </t>
  </si>
  <si>
    <t>Con. (16)</t>
  </si>
  <si>
    <t>Plaster</t>
  </si>
  <si>
    <t>Floor Tile</t>
  </si>
  <si>
    <t xml:space="preserve">Con. ( 16)        </t>
  </si>
  <si>
    <t>FollowingTable ( 16 )</t>
  </si>
  <si>
    <t>Con. (16)         Doors</t>
  </si>
  <si>
    <t xml:space="preserve">Con. (16) </t>
  </si>
  <si>
    <t>Windows</t>
  </si>
  <si>
    <t>Electrical Enstallation</t>
  </si>
  <si>
    <t>Sanitary Enstallation</t>
  </si>
  <si>
    <t xml:space="preserve">         Plastic Tubes</t>
  </si>
  <si>
    <t>Steps to Staires</t>
  </si>
  <si>
    <t>Frame For Windows</t>
  </si>
  <si>
    <t>TotalCost</t>
  </si>
  <si>
    <t>Value of construction Materials</t>
  </si>
  <si>
    <t xml:space="preserve"> year</t>
  </si>
  <si>
    <t>Est.Cost</t>
  </si>
  <si>
    <t xml:space="preserve">Con.  (16) </t>
  </si>
  <si>
    <t>7.158.371</t>
  </si>
  <si>
    <t>6.603.278</t>
  </si>
  <si>
    <t>Thousand</t>
  </si>
  <si>
    <t>Porcelain</t>
  </si>
  <si>
    <t>Total Cost</t>
  </si>
  <si>
    <t xml:space="preserve">الانبار </t>
  </si>
  <si>
    <t>Al-Anbar</t>
  </si>
  <si>
    <t xml:space="preserve">عدد الابنية الثقافية </t>
  </si>
  <si>
    <t xml:space="preserve">كركوك </t>
  </si>
  <si>
    <t xml:space="preserve">واسط </t>
  </si>
  <si>
    <t xml:space="preserve">ديالى </t>
  </si>
  <si>
    <t xml:space="preserve">المجموع </t>
  </si>
  <si>
    <t xml:space="preserve">المثنى </t>
  </si>
  <si>
    <t xml:space="preserve">البصرة </t>
  </si>
  <si>
    <t xml:space="preserve">عدد الطوابق </t>
  </si>
  <si>
    <t xml:space="preserve">عدد الغرف </t>
  </si>
  <si>
    <t>الانبار</t>
  </si>
  <si>
    <t xml:space="preserve">مجموع الكميات </t>
  </si>
  <si>
    <t xml:space="preserve">   </t>
  </si>
  <si>
    <t xml:space="preserve">                                               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</si>
  <si>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</si>
  <si>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</si>
  <si>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</t>
  </si>
  <si>
    <t>انابيب بوري</t>
  </si>
  <si>
    <t>1.932.360</t>
  </si>
  <si>
    <t>1.962.888</t>
  </si>
  <si>
    <t>1.231.567</t>
  </si>
  <si>
    <t>1.297.872</t>
  </si>
  <si>
    <t xml:space="preserve">العدد </t>
  </si>
  <si>
    <t xml:space="preserve"> عدد</t>
  </si>
  <si>
    <t>نينوى</t>
  </si>
  <si>
    <r>
      <t xml:space="preserve">                            المؤشرات الرئيسة لتقديرات الابنية المنجزة </t>
    </r>
    <r>
      <rPr>
        <b/>
        <sz val="11"/>
        <rFont val="Calibri"/>
        <family val="2"/>
      </rPr>
      <t xml:space="preserve">̽ </t>
    </r>
    <r>
      <rPr>
        <b/>
        <sz val="11"/>
        <rFont val="Arial"/>
        <family val="2"/>
      </rPr>
      <t>في القطاع الخاص حسب أنواع البناء لسنة 2018</t>
    </r>
  </si>
  <si>
    <t>Ninawa</t>
  </si>
  <si>
    <t xml:space="preserve"> دور السكن (الجديدة ) المنجزة  حسب المحافظات  لسنة 2018</t>
  </si>
  <si>
    <t xml:space="preserve"> COMPLETED DWELLINGS IN THE PRIVATE SECTOR BY GOVERNORATE  2018 </t>
  </si>
  <si>
    <t xml:space="preserve">Key INDICATORS ESTIMATION FOR COMPLETED BUILDINGS IN THE PRIVATE SECTOR BY TYPES OF BUILDING 2018       </t>
  </si>
  <si>
    <t xml:space="preserve">  الاضافات لدور السكن المنجزة  حسب المحافظات لسنة 2018</t>
  </si>
  <si>
    <t xml:space="preserve">   ADDITION TO HOUSING CONSTRUSTION COMPLETED   IN THE PRIVATE SECTOR BY GOVERNORATE  2018 </t>
  </si>
  <si>
    <t xml:space="preserve"> العمارات السكنية (الجديدة ) المنجزة  في القطاع الخاص حسب المحافظات لسنة 2018</t>
  </si>
  <si>
    <t>COMPLETED RESIDENTIAL BUILDINGS IN THE PRIVATE SECTOR BY GOVERNORATE  2018</t>
  </si>
  <si>
    <t>Salah- ALDeen</t>
  </si>
  <si>
    <t xml:space="preserve"> العمارات السكنية (المضافة) المنجزة  في القطاع الخاص حسب المحافظات لسنة 2018</t>
  </si>
  <si>
    <t>العمارات التجارية (الجديدة ) وملحقاتها المنجزة  حسب المحافظات لسنة 2018</t>
  </si>
  <si>
    <t xml:space="preserve">  COMPLETED COMMERCIAL( NEW) IN THE PRIVATE SECTOR BY GOVERNORATE   2018</t>
  </si>
  <si>
    <t xml:space="preserve">العمارات التجارية (المضافة) وملحقاتها المنجزة  حسب المحافظات لسنة 2018 </t>
  </si>
  <si>
    <t>COMPLETED COMMERCIAL BUILDINGS (ADDITION) IN THE PRIVATE SECTOR BY GOVERNORATE  2018</t>
  </si>
  <si>
    <t xml:space="preserve"> الابنية الصناعية (الجديدة )المنجزة في القطاع الخاص حسب المحافظات لسنة 2018</t>
  </si>
  <si>
    <t xml:space="preserve"> COMPLETED BUILDINGS( NEW) FOR THE  INDUSTRIAL PURPOSES  IN THE PRIVATE SECTOR BY GOVERNORATE FOR THE YAER 2018</t>
  </si>
  <si>
    <t xml:space="preserve"> الابنية (الجديدة ) المنجزة لاغراض التجارة في القطاع الخاص حسب المحافظات لسنة 2018</t>
  </si>
  <si>
    <t xml:space="preserve"> COMPLETED BUILDINGS (NEW )FOR THE COMMERCIAL PURPOSES IN THE PRIVATE SECTOR BY GOVERNORATE 2018</t>
  </si>
  <si>
    <t xml:space="preserve"> الابنية (المضافة )المنجزة لاغراض التجارة في القطاع الخاص حسب المحافظات لسنة 2018</t>
  </si>
  <si>
    <t xml:space="preserve"> COMPLETED BUILDINGS  (ADDITION)  FOR THE COMMERCIAL PURPOSES IN THE PRIVATE SECTOR BY GOVERNORATE  2018</t>
  </si>
  <si>
    <t xml:space="preserve"> الابنية ( الجديدة ) المنجزة لاغراض الخدمات الاجتماعية في القطاع الخاص حسب المحافظات لسنة 2018</t>
  </si>
  <si>
    <t xml:space="preserve"> COMPLETED BUILDINGS ( NEW) FOR THE PURPOSES SOCIAL SERVICES IN THE PRIVATE SECTOR BY GOVERNORATE FOR THE YAER 2018</t>
  </si>
  <si>
    <t xml:space="preserve"> الابنية (المضافة) المنجزة لاغراض الخدمات الاجتماعية في القطاع الخاص حسب المحافظات لسنة 2018</t>
  </si>
  <si>
    <t xml:space="preserve"> COMPLETED BUILDINGS ( ADDITION) FOR THE PURPOSES OF SOCIAL SERVICES IN THE PRIVATE SECTOR BY GOVERNORATE FOR THE YAER 2018</t>
  </si>
  <si>
    <t>AL-Basra</t>
  </si>
  <si>
    <t>Salh AL-Deen</t>
  </si>
  <si>
    <t xml:space="preserve"> EMPLOYEES AND WAGES IN THE PRIVATE SECTOR BY Kind and GOVERNORATE  2018 </t>
  </si>
  <si>
    <t xml:space="preserve">             QUANTITY AND COSTS FOR THE BUILDINGS MATERIAL BY GOVERNORAT  2018                     </t>
  </si>
  <si>
    <t>QUANTITY AND COSTS FOR THE BUILDINGS MATERIAL BY GOVERNORAT  2018</t>
  </si>
  <si>
    <t>QUANTITY AND COSTS FOR THE  BUILDINGS MATERIAL BY GOVERNORAT  2018</t>
  </si>
  <si>
    <t xml:space="preserve">                QUANTITY AND COSTS FOR THE  BUILDINGS MATERIAL BYGOVERNORAT  2018</t>
  </si>
  <si>
    <t xml:space="preserve">        QUANTITY AND COSTS FOR THE BUILDINGS MATERIAL BYGOVERNORAT  2018</t>
  </si>
  <si>
    <t xml:space="preserve">                                                         QUANTITY AND COSTS FOR THE BUILDINGS MATERIAL BY GOVERNORAT  2018</t>
  </si>
  <si>
    <t xml:space="preserve">كمية وقيمة المواد الانشائية المستخدمة في البناء حسب المحافظات لسنة 2018 </t>
  </si>
  <si>
    <t xml:space="preserve">QUANTITY AND COSTS FOR THE  BUILDINGS MATERIAL BY GOVERNORAT FOR THE  YEAR 2018                                                                                                                                                       </t>
  </si>
  <si>
    <t xml:space="preserve">QUANTITY AND COSTS FOR THE  BUILDINGS MATERIAL BY GOVERNORAT  2018 </t>
  </si>
  <si>
    <t xml:space="preserve">كمية وقيمة المواد الانشائية المستخدمة في البناء حسب المحافظات لسنة 2018  </t>
  </si>
  <si>
    <t xml:space="preserve">QUANTITY AND COSTS FOR THE BUILDINGS MATERIAL BY GOVERNORAT  2018                                                                                 </t>
  </si>
  <si>
    <t xml:space="preserve"> QUANTITY AND COSTS FOR THE  BUILDINGS MATERIAL BY GOVERNORAT    2018                                                                                             </t>
  </si>
  <si>
    <t xml:space="preserve">           QUANTITY AND COSTS FOR THE BUILDINGS MATERIAL BY GOVERNORAT 2018                                             </t>
  </si>
  <si>
    <t xml:space="preserve">        QUANTITY AND COSTS FOR THE BUILDINGS MATERIAL BY GOVERNORAT  2018                                          </t>
  </si>
  <si>
    <t>COST OF CONSTRUCTION MATERIAL WAGESTRANSPORT IN THE PRIVATE SECTOR  BY GOVERNORATE  2018</t>
  </si>
  <si>
    <t>أ- لم تتوفر بيانات لمادة الحجر لسنة 2018 للمحافظات المتبقية .</t>
  </si>
  <si>
    <t xml:space="preserve">QUANTITY AND COSTS FOR THE BUILDINGS MATERIAL BY GOVERNORAT  2018 </t>
  </si>
  <si>
    <t>عدد الابنيه الصناعيه</t>
  </si>
  <si>
    <t>عدد الفنادق</t>
  </si>
  <si>
    <t>عدد المطاعم</t>
  </si>
  <si>
    <t>عدد الكازينوات</t>
  </si>
  <si>
    <t>Hotels</t>
  </si>
  <si>
    <t>Restaurants</t>
  </si>
  <si>
    <t>Casinos</t>
  </si>
  <si>
    <t>ابنية تجارية اخرى</t>
  </si>
  <si>
    <t>Building</t>
  </si>
  <si>
    <t>Other Commercil</t>
  </si>
  <si>
    <t>عدد الابنية التجارية الاخرى</t>
  </si>
  <si>
    <t>عدد الابنية الصحية</t>
  </si>
  <si>
    <t>Cultural</t>
  </si>
  <si>
    <t>Healthy</t>
  </si>
  <si>
    <t>عدد الابنية الخدمية الاخرى</t>
  </si>
  <si>
    <t>Other Services</t>
  </si>
  <si>
    <t>اجور الاخرى</t>
  </si>
  <si>
    <t xml:space="preserve"> الابنية الصناعية (المضافة)المنجزة في القطاع الخاص حسب المحافظات لسنة 2018</t>
  </si>
  <si>
    <t xml:space="preserve"> COMPLETED BUILDINGS( ADDITON) FOR THE  INDUSTRIAL PURPOSES  IN THE PRIVATE SECTOR BY GOVERNORATE FOR THE YAER 2018</t>
  </si>
  <si>
    <t>ADDITIONS</t>
  </si>
  <si>
    <t>جدول (1)</t>
  </si>
  <si>
    <t>الكلفة الكلية  لأبنية القطاع الخاص للسنوات (2008-2018 )</t>
  </si>
  <si>
    <t>TOTAL COST OF BUILDING IN THE PRIVATE SECTOR FOR  (2008 -2018)</t>
  </si>
  <si>
    <t>جدول (2)</t>
  </si>
  <si>
    <t>جدول  (3)              دور جديدة</t>
  </si>
  <si>
    <t>جدول  (4)    اضافات البناء</t>
  </si>
  <si>
    <t>جدول  (5)</t>
  </si>
  <si>
    <t>جدول  (6)</t>
  </si>
  <si>
    <t>جدول  (7)</t>
  </si>
  <si>
    <t>جدول (8)</t>
  </si>
  <si>
    <t xml:space="preserve"> جدول ( 10 )</t>
  </si>
  <si>
    <t>Table ( 10 )</t>
  </si>
  <si>
    <t>ملاحظة لم يتم منح اجازة اضافة للابنية الصناعية لسنة 2018</t>
  </si>
  <si>
    <t>جدول ( 11 )</t>
  </si>
  <si>
    <r>
      <rPr>
        <b/>
        <sz val="14"/>
        <rFont val="Arial"/>
        <family val="2"/>
      </rPr>
      <t>جدول</t>
    </r>
    <r>
      <rPr>
        <b/>
        <sz val="12"/>
        <rFont val="Arial"/>
        <family val="2"/>
      </rPr>
      <t xml:space="preserve">  (13)</t>
    </r>
  </si>
  <si>
    <t>جدول  (15)</t>
  </si>
  <si>
    <t>ثرمستون</t>
  </si>
  <si>
    <t xml:space="preserve">جدول 16  </t>
  </si>
  <si>
    <t xml:space="preserve">           QUANTITY AND COSTS FOR THE BUILDINGS MATERIAL BY GOVERNORAT  2018                    </t>
  </si>
  <si>
    <t xml:space="preserve"> تابع جدول  ( 16)</t>
  </si>
  <si>
    <t xml:space="preserve">  تابع جدول  (16 )                حجر</t>
  </si>
  <si>
    <t xml:space="preserve"> تابع جدول  16</t>
  </si>
  <si>
    <t xml:space="preserve"> تابع جدول  (16)</t>
  </si>
  <si>
    <t xml:space="preserve">    تابع جدول  (16)         سمنت</t>
  </si>
  <si>
    <t xml:space="preserve">  تابع جدول  (16)</t>
  </si>
  <si>
    <t>تابع جدول( 16 )            حديد</t>
  </si>
  <si>
    <t xml:space="preserve"> تابع جدول (16)</t>
  </si>
  <si>
    <t>تابع جدول  (16)</t>
  </si>
  <si>
    <t xml:space="preserve"> تابع جدول  (16)            مواد انشائية اخرى</t>
  </si>
  <si>
    <t xml:space="preserve">  تابع جدول (16)</t>
  </si>
  <si>
    <t>مواد  انشائية اخرى</t>
  </si>
  <si>
    <t>TOTL</t>
  </si>
  <si>
    <t>عدد العاملين (الف)</t>
  </si>
  <si>
    <t>ملاحظة: بالنسبة للكازينوهات والمطاعم والفنادق والابنية التجارية لم تردنا لبقية المحافظات لسنة 2018 .</t>
  </si>
  <si>
    <t xml:space="preserve"> ملاحظة: بالنسبة  للفنادق للكازينوهات والمطاعم والأبنية التجارية الاخرى لم ترد لنا اي اجازة اضافة لباقي المحافظات لسنة 2018 .</t>
  </si>
  <si>
    <t>ملاحظة : بالنسبة للابنية الدينية والصحية والابنية الاخرى لم تردنا اي اجازة لباقي المحافظات لسنة 2018.</t>
  </si>
  <si>
    <t>ملاحظة :  أ- بالنسبة للابنية الدينية والصحية والابنية الاخرى  والخدمية لم تردنا اي اجازة بناء لسنة 2018.</t>
  </si>
  <si>
    <t xml:space="preserve">           ب- لم يتم منح اجازة تشييد للابنية الدنية والخدمية والصحيه والابنية الاخرى لسنة 2018 للمحافظات المتبقية .</t>
  </si>
  <si>
    <t>Other Wages</t>
  </si>
  <si>
    <t>ملاحظة :تم حذف الاخرى لعدم توفر البيانات .</t>
  </si>
  <si>
    <t>ملاحظة :لم يتم منح اجازة لتشييد الابنية الصناعية لسنة 2018للمحافظات المتبقية.</t>
  </si>
  <si>
    <t xml:space="preserve"> العدد</t>
  </si>
  <si>
    <t>المجموع الاجور الكلية</t>
  </si>
  <si>
    <t>عدد الابنيه الصناعيه الاخرى</t>
  </si>
  <si>
    <t xml:space="preserve"> العاملين ومجموع الاجور المدفوعة لهم حسب اصنافهم وحسب المحافظات لسنة 2018  </t>
  </si>
  <si>
    <t xml:space="preserve">كمية وقيمة المواد الانشائية المستخدمة  في البناء حسب المحافظات لسنة 2018  </t>
  </si>
  <si>
    <t>كمية وقيمة المواد الانشائية المستخدمة في البناء حسب المحافظات لسنة 2018  (الكلفة : الف دينار )</t>
  </si>
  <si>
    <t xml:space="preserve">                              كمية وقيمة المواد الانشائية المستخدمة في البناء حسب المحافظات لسنة 2018                       </t>
  </si>
  <si>
    <t xml:space="preserve">                           كمية وقيمة المواد الانشائية المستخدمة في البناء حسب المحافظات لسنة 2018</t>
  </si>
  <si>
    <t xml:space="preserve">كلفة المواد وقيمة الموادالانشائية المستخدمة والاجور المدفوعة لابنية القطاع الخاص حسب المحافظات لسنة 2018 </t>
  </si>
  <si>
    <t xml:space="preserve">كمية وقيمة المواد الانشائية المستخدمة  في البناء حسب  المحافظات لسنة2018 </t>
  </si>
  <si>
    <t xml:space="preserve">                           كمية وقيمة المواد الانشائية المستخدمةفي البناء حسب المحافظات لسنة 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</si>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</sst>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;[Red]0.00"/>
    <numFmt numFmtId="166" formatCode="#,##0;[Red]#,##0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333333"/>
      <name val="Arial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11"/>
      <color indexed="9"/>
      <name val="Arial"/>
      <family val="2"/>
    </font>
    <font>
      <b/>
      <sz val="11"/>
      <name val="Aharoni"/>
      <charset val="177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2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8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0" borderId="0" xfId="0" applyBorder="1"/>
    <xf numFmtId="0" fontId="0" fillId="0" borderId="1" xfId="0" applyBorder="1"/>
    <xf numFmtId="0" fontId="6" fillId="2" borderId="0" xfId="0" applyFont="1" applyFill="1"/>
    <xf numFmtId="1" fontId="0" fillId="0" borderId="0" xfId="0" applyNumberFormat="1"/>
    <xf numFmtId="0" fontId="0" fillId="0" borderId="0" xfId="0"/>
    <xf numFmtId="0" fontId="1" fillId="0" borderId="0" xfId="0" applyFont="1"/>
    <xf numFmtId="0" fontId="7" fillId="6" borderId="0" xfId="0" applyFont="1" applyFill="1" applyBorder="1" applyAlignment="1" applyProtection="1">
      <alignment horizontal="right"/>
      <protection locked="0"/>
    </xf>
    <xf numFmtId="0" fontId="7" fillId="6" borderId="0" xfId="0" applyFont="1" applyFill="1"/>
    <xf numFmtId="0" fontId="7" fillId="6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/>
    <xf numFmtId="0" fontId="7" fillId="7" borderId="0" xfId="0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2" borderId="0" xfId="0" applyFont="1" applyFill="1"/>
    <xf numFmtId="0" fontId="11" fillId="2" borderId="0" xfId="0" applyFont="1" applyFill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1" fontId="7" fillId="7" borderId="0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6" borderId="0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1" fontId="7" fillId="2" borderId="0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3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/>
    <xf numFmtId="0" fontId="13" fillId="6" borderId="0" xfId="0" applyFont="1" applyFill="1" applyBorder="1"/>
    <xf numFmtId="1" fontId="7" fillId="6" borderId="0" xfId="0" applyNumberFormat="1" applyFont="1" applyFill="1" applyBorder="1" applyAlignment="1">
      <alignment horizontal="left" vertical="center" wrapText="1"/>
    </xf>
    <xf numFmtId="0" fontId="7" fillId="5" borderId="0" xfId="0" applyFont="1" applyFill="1"/>
    <xf numFmtId="1" fontId="7" fillId="4" borderId="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/>
    </xf>
    <xf numFmtId="0" fontId="7" fillId="5" borderId="0" xfId="0" applyFont="1" applyFill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0" fillId="0" borderId="0" xfId="0" applyBorder="1" applyAlignment="1"/>
    <xf numFmtId="0" fontId="7" fillId="3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2" borderId="0" xfId="0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/>
    <xf numFmtId="3" fontId="7" fillId="3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 applyAlignment="1"/>
    <xf numFmtId="3" fontId="7" fillId="4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3" borderId="3" xfId="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/>
    </xf>
    <xf numFmtId="0" fontId="7" fillId="3" borderId="3" xfId="9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vertical="center" wrapText="1"/>
    </xf>
    <xf numFmtId="1" fontId="7" fillId="2" borderId="0" xfId="9" applyNumberFormat="1" applyFont="1" applyFill="1" applyBorder="1" applyAlignment="1">
      <alignment vertical="center" wrapText="1"/>
    </xf>
    <xf numFmtId="0" fontId="7" fillId="3" borderId="0" xfId="9" applyFont="1" applyFill="1" applyBorder="1" applyAlignment="1">
      <alignment horizontal="right" vertical="center" wrapText="1"/>
    </xf>
    <xf numFmtId="0" fontId="7" fillId="3" borderId="0" xfId="9" applyFont="1" applyFill="1" applyBorder="1" applyAlignment="1">
      <alignment horizontal="left" vertical="center" wrapText="1"/>
    </xf>
    <xf numFmtId="3" fontId="7" fillId="3" borderId="0" xfId="9" applyNumberFormat="1" applyFont="1" applyFill="1" applyBorder="1" applyAlignment="1">
      <alignment vertical="center" wrapText="1"/>
    </xf>
    <xf numFmtId="0" fontId="7" fillId="6" borderId="0" xfId="9" applyFont="1" applyFill="1" applyBorder="1" applyAlignment="1">
      <alignment vertical="center" wrapText="1"/>
    </xf>
    <xf numFmtId="0" fontId="7" fillId="6" borderId="1" xfId="9" applyFont="1" applyFill="1" applyBorder="1" applyAlignment="1">
      <alignment horizontal="center" vertical="center" wrapText="1"/>
    </xf>
    <xf numFmtId="0" fontId="7" fillId="6" borderId="1" xfId="9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vertical="center" wrapText="1"/>
    </xf>
    <xf numFmtId="1" fontId="7" fillId="7" borderId="0" xfId="9" applyNumberFormat="1" applyFont="1" applyFill="1" applyBorder="1" applyAlignment="1">
      <alignment horizontal="right" vertical="center" wrapText="1"/>
    </xf>
    <xf numFmtId="3" fontId="7" fillId="7" borderId="0" xfId="9" applyNumberFormat="1" applyFont="1" applyFill="1" applyBorder="1" applyAlignment="1">
      <alignment vertical="center" wrapText="1"/>
    </xf>
    <xf numFmtId="1" fontId="7" fillId="7" borderId="0" xfId="9" applyNumberFormat="1" applyFont="1" applyFill="1" applyBorder="1" applyAlignment="1">
      <alignment horizontal="left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0" xfId="10" applyNumberFormat="1" applyFont="1" applyFill="1" applyBorder="1" applyAlignment="1">
      <alignment horizontal="right" vertical="center" wrapText="1"/>
    </xf>
    <xf numFmtId="0" fontId="7" fillId="2" borderId="0" xfId="10" applyFont="1" applyFill="1"/>
    <xf numFmtId="1" fontId="7" fillId="2" borderId="0" xfId="1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" fontId="7" fillId="2" borderId="0" xfId="10" applyNumberFormat="1" applyFont="1" applyFill="1" applyBorder="1" applyAlignment="1">
      <alignment horizontal="left" vertical="center" wrapText="1"/>
    </xf>
    <xf numFmtId="1" fontId="7" fillId="2" borderId="0" xfId="10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vertical="center" wrapText="1"/>
    </xf>
    <xf numFmtId="1" fontId="7" fillId="6" borderId="1" xfId="10" applyNumberFormat="1" applyFont="1" applyFill="1" applyBorder="1" applyAlignment="1">
      <alignment vertical="center" wrapText="1"/>
    </xf>
    <xf numFmtId="1" fontId="7" fillId="3" borderId="0" xfId="10" applyNumberFormat="1" applyFont="1" applyFill="1" applyBorder="1" applyAlignment="1">
      <alignment horizontal="right" vertical="center" wrapText="1"/>
    </xf>
    <xf numFmtId="1" fontId="7" fillId="3" borderId="0" xfId="10" applyNumberFormat="1" applyFont="1" applyFill="1" applyBorder="1" applyAlignment="1">
      <alignment horizontal="left" vertical="center" wrapText="1"/>
    </xf>
    <xf numFmtId="0" fontId="7" fillId="6" borderId="1" xfId="10" applyFont="1" applyFill="1" applyBorder="1" applyAlignment="1">
      <alignment vertical="center" wrapText="1"/>
    </xf>
    <xf numFmtId="0" fontId="7" fillId="6" borderId="1" xfId="10" applyFont="1" applyFill="1" applyBorder="1" applyAlignment="1">
      <alignment horizontal="center" vertical="center" wrapText="1"/>
    </xf>
    <xf numFmtId="0" fontId="7" fillId="6" borderId="0" xfId="10" applyFont="1" applyFill="1" applyBorder="1" applyAlignment="1">
      <alignment horizontal="right" vertical="center" wrapText="1"/>
    </xf>
    <xf numFmtId="0" fontId="7" fillId="6" borderId="0" xfId="10" applyFont="1" applyFill="1" applyBorder="1" applyAlignment="1">
      <alignment horizontal="left" vertical="center" wrapText="1"/>
    </xf>
    <xf numFmtId="3" fontId="7" fillId="7" borderId="0" xfId="10" applyNumberFormat="1" applyFont="1" applyFill="1" applyBorder="1" applyAlignment="1">
      <alignment vertical="center" wrapText="1"/>
    </xf>
    <xf numFmtId="3" fontId="7" fillId="3" borderId="0" xfId="10" applyNumberFormat="1" applyFont="1" applyFill="1" applyBorder="1" applyAlignment="1">
      <alignment vertical="center" wrapText="1"/>
    </xf>
    <xf numFmtId="1" fontId="7" fillId="3" borderId="3" xfId="4" applyNumberFormat="1" applyFont="1" applyFill="1" applyBorder="1" applyAlignment="1">
      <alignment horizontal="right" vertical="center" wrapText="1"/>
    </xf>
    <xf numFmtId="1" fontId="7" fillId="3" borderId="0" xfId="4" applyNumberFormat="1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horizontal="left" vertical="center" wrapText="1"/>
    </xf>
    <xf numFmtId="1" fontId="7" fillId="3" borderId="3" xfId="4" applyNumberFormat="1" applyFont="1" applyFill="1" applyBorder="1" applyAlignment="1">
      <alignment horizontal="left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vertical="center" wrapText="1"/>
    </xf>
    <xf numFmtId="1" fontId="7" fillId="3" borderId="0" xfId="4" applyNumberFormat="1" applyFont="1" applyFill="1" applyBorder="1" applyAlignment="1">
      <alignment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7" borderId="1" xfId="4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1" fontId="7" fillId="2" borderId="0" xfId="0" applyNumberFormat="1" applyFont="1" applyFill="1"/>
    <xf numFmtId="1" fontId="7" fillId="2" borderId="0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vertical="center" wrapText="1"/>
    </xf>
    <xf numFmtId="3" fontId="7" fillId="7" borderId="0" xfId="12" applyNumberFormat="1" applyFont="1" applyFill="1" applyBorder="1" applyAlignment="1">
      <alignment vertical="center" wrapText="1"/>
    </xf>
    <xf numFmtId="3" fontId="7" fillId="7" borderId="0" xfId="13" applyNumberFormat="1" applyFont="1" applyFill="1" applyBorder="1" applyAlignment="1">
      <alignment vertical="center" wrapText="1"/>
    </xf>
    <xf numFmtId="3" fontId="7" fillId="3" borderId="0" xfId="12" applyNumberFormat="1" applyFont="1" applyFill="1" applyBorder="1" applyAlignment="1">
      <alignment vertical="center" wrapText="1"/>
    </xf>
    <xf numFmtId="3" fontId="7" fillId="3" borderId="0" xfId="13" applyNumberFormat="1" applyFont="1" applyFill="1" applyBorder="1" applyAlignment="1">
      <alignment vertical="center" wrapText="1"/>
    </xf>
    <xf numFmtId="3" fontId="7" fillId="7" borderId="0" xfId="14" applyNumberFormat="1" applyFont="1" applyFill="1" applyBorder="1" applyAlignment="1">
      <alignment vertical="center" wrapText="1"/>
    </xf>
    <xf numFmtId="3" fontId="7" fillId="7" borderId="0" xfId="15" applyNumberFormat="1" applyFont="1" applyFill="1" applyBorder="1" applyAlignment="1">
      <alignment vertical="center" wrapText="1"/>
    </xf>
    <xf numFmtId="3" fontId="7" fillId="7" borderId="0" xfId="16" applyNumberFormat="1" applyFont="1" applyFill="1" applyBorder="1" applyAlignment="1">
      <alignment vertical="center" wrapText="1"/>
    </xf>
    <xf numFmtId="3" fontId="7" fillId="3" borderId="0" xfId="14" applyNumberFormat="1" applyFont="1" applyFill="1" applyBorder="1" applyAlignment="1">
      <alignment vertical="center" wrapText="1"/>
    </xf>
    <xf numFmtId="3" fontId="7" fillId="3" borderId="0" xfId="15" applyNumberFormat="1" applyFont="1" applyFill="1" applyBorder="1" applyAlignment="1">
      <alignment vertical="center" wrapText="1"/>
    </xf>
    <xf numFmtId="3" fontId="7" fillId="3" borderId="0" xfId="16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3" borderId="0" xfId="5" applyFont="1" applyFill="1" applyBorder="1" applyAlignment="1">
      <alignment vertical="center" wrapText="1"/>
    </xf>
    <xf numFmtId="1" fontId="7" fillId="2" borderId="0" xfId="11" applyNumberFormat="1" applyFont="1" applyFill="1" applyBorder="1" applyAlignment="1">
      <alignment horizontal="right" vertical="center" wrapText="1"/>
    </xf>
    <xf numFmtId="1" fontId="7" fillId="2" borderId="0" xfId="11" applyNumberFormat="1" applyFont="1" applyFill="1" applyBorder="1" applyAlignment="1">
      <alignment vertical="center" wrapText="1"/>
    </xf>
    <xf numFmtId="1" fontId="7" fillId="2" borderId="3" xfId="11" applyNumberFormat="1" applyFont="1" applyFill="1" applyBorder="1" applyAlignment="1">
      <alignment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horizontal="right" vertical="center" wrapText="1"/>
    </xf>
    <xf numFmtId="0" fontId="7" fillId="3" borderId="0" xfId="11" applyFont="1" applyFill="1" applyBorder="1" applyAlignment="1">
      <alignment horizontal="left" vertical="center" wrapText="1"/>
    </xf>
    <xf numFmtId="0" fontId="7" fillId="7" borderId="1" xfId="11" applyFont="1" applyFill="1" applyBorder="1" applyAlignment="1">
      <alignment horizontal="center" vertical="center" wrapText="1"/>
    </xf>
    <xf numFmtId="1" fontId="7" fillId="7" borderId="0" xfId="11" applyNumberFormat="1" applyFont="1" applyFill="1" applyBorder="1" applyAlignment="1">
      <alignment horizontal="right" vertical="center" wrapText="1"/>
    </xf>
    <xf numFmtId="1" fontId="7" fillId="7" borderId="0" xfId="11" applyNumberFormat="1" applyFont="1" applyFill="1" applyBorder="1" applyAlignment="1">
      <alignment horizontal="left" vertical="center" wrapText="1"/>
    </xf>
    <xf numFmtId="3" fontId="7" fillId="7" borderId="0" xfId="11" applyNumberFormat="1" applyFont="1" applyFill="1" applyBorder="1" applyAlignment="1">
      <alignment vertical="center" wrapText="1"/>
    </xf>
    <xf numFmtId="3" fontId="7" fillId="3" borderId="0" xfId="11" applyNumberFormat="1" applyFont="1" applyFill="1" applyBorder="1" applyAlignment="1">
      <alignment vertical="center" wrapText="1"/>
    </xf>
    <xf numFmtId="1" fontId="7" fillId="3" borderId="0" xfId="2" applyNumberFormat="1" applyFont="1" applyFill="1" applyBorder="1" applyAlignment="1">
      <alignment vertical="center" wrapText="1"/>
    </xf>
    <xf numFmtId="1" fontId="7" fillId="3" borderId="0" xfId="2" applyNumberFormat="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left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horizontal="left" vertical="center" wrapText="1"/>
    </xf>
    <xf numFmtId="1" fontId="7" fillId="7" borderId="1" xfId="2" applyNumberFormat="1" applyFont="1" applyFill="1" applyBorder="1" applyAlignment="1">
      <alignment horizontal="right" vertical="center" wrapText="1"/>
    </xf>
    <xf numFmtId="1" fontId="7" fillId="7" borderId="1" xfId="2" applyNumberFormat="1" applyFont="1" applyFill="1" applyBorder="1" applyAlignment="1">
      <alignment horizontal="left" vertical="center" wrapText="1"/>
    </xf>
    <xf numFmtId="1" fontId="7" fillId="7" borderId="0" xfId="2" applyNumberFormat="1" applyFont="1" applyFill="1" applyBorder="1" applyAlignment="1">
      <alignment horizontal="right" vertical="center" wrapText="1"/>
    </xf>
    <xf numFmtId="1" fontId="7" fillId="7" borderId="0" xfId="2" applyNumberFormat="1" applyFont="1" applyFill="1" applyBorder="1" applyAlignment="1">
      <alignment horizontal="left" vertical="center" wrapText="1"/>
    </xf>
    <xf numFmtId="1" fontId="7" fillId="2" borderId="3" xfId="6" applyNumberFormat="1" applyFont="1" applyFill="1" applyBorder="1" applyAlignment="1">
      <alignment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2" borderId="3" xfId="6" applyNumberFormat="1" applyFont="1" applyFill="1" applyBorder="1" applyAlignment="1">
      <alignment horizontal="left" vertical="center" wrapText="1"/>
    </xf>
    <xf numFmtId="0" fontId="7" fillId="7" borderId="0" xfId="6" applyFont="1" applyFill="1" applyBorder="1" applyAlignment="1">
      <alignment vertical="center" wrapText="1"/>
    </xf>
    <xf numFmtId="0" fontId="7" fillId="3" borderId="0" xfId="6" applyFont="1" applyFill="1" applyBorder="1" applyAlignment="1">
      <alignment vertical="center" wrapText="1"/>
    </xf>
    <xf numFmtId="1" fontId="7" fillId="3" borderId="0" xfId="6" applyNumberFormat="1" applyFont="1" applyFill="1" applyBorder="1" applyAlignment="1">
      <alignment horizontal="right" vertical="center" wrapText="1"/>
    </xf>
    <xf numFmtId="1" fontId="7" fillId="7" borderId="0" xfId="6" applyNumberFormat="1" applyFont="1" applyFill="1" applyBorder="1" applyAlignment="1">
      <alignment horizontal="right" vertical="center" wrapText="1"/>
    </xf>
    <xf numFmtId="1" fontId="7" fillId="7" borderId="0" xfId="6" applyNumberFormat="1" applyFont="1" applyFill="1" applyBorder="1" applyAlignment="1">
      <alignment horizontal="left" vertical="center" wrapText="1"/>
    </xf>
    <xf numFmtId="0" fontId="7" fillId="2" borderId="0" xfId="6" applyFont="1" applyFill="1" applyBorder="1" applyAlignment="1">
      <alignment horizontal="right" vertical="center" wrapText="1"/>
    </xf>
    <xf numFmtId="3" fontId="7" fillId="7" borderId="0" xfId="6" applyNumberFormat="1" applyFont="1" applyFill="1" applyBorder="1" applyAlignment="1">
      <alignment vertical="center" wrapText="1"/>
    </xf>
    <xf numFmtId="3" fontId="7" fillId="3" borderId="0" xfId="6" applyNumberFormat="1" applyFont="1" applyFill="1" applyBorder="1" applyAlignment="1">
      <alignment vertical="center" wrapText="1"/>
    </xf>
    <xf numFmtId="1" fontId="7" fillId="3" borderId="3" xfId="5" applyNumberFormat="1" applyFont="1" applyFill="1" applyBorder="1" applyAlignment="1">
      <alignment vertical="center" wrapText="1"/>
    </xf>
    <xf numFmtId="0" fontId="7" fillId="7" borderId="0" xfId="3" applyFont="1" applyFill="1" applyBorder="1" applyAlignment="1">
      <alignment vertical="center" wrapText="1"/>
    </xf>
    <xf numFmtId="0" fontId="7" fillId="7" borderId="1" xfId="3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vertical="center" wrapText="1"/>
    </xf>
    <xf numFmtId="0" fontId="7" fillId="3" borderId="0" xfId="3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vertical="center" wrapText="1"/>
    </xf>
    <xf numFmtId="0" fontId="7" fillId="3" borderId="3" xfId="7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horizontal="left" vertical="center" wrapText="1"/>
    </xf>
    <xf numFmtId="0" fontId="7" fillId="3" borderId="0" xfId="7" applyFont="1" applyFill="1" applyBorder="1" applyAlignment="1">
      <alignment horizontal="right" vertical="center" wrapText="1"/>
    </xf>
    <xf numFmtId="1" fontId="7" fillId="6" borderId="0" xfId="7" applyNumberFormat="1" applyFont="1" applyFill="1" applyBorder="1" applyAlignment="1">
      <alignment horizontal="right" vertical="center" wrapText="1"/>
    </xf>
    <xf numFmtId="3" fontId="7" fillId="7" borderId="0" xfId="7" applyNumberFormat="1" applyFont="1" applyFill="1" applyBorder="1" applyAlignment="1">
      <alignment vertical="center" wrapText="1"/>
    </xf>
    <xf numFmtId="3" fontId="7" fillId="7" borderId="0" xfId="8" applyNumberFormat="1" applyFont="1" applyFill="1" applyBorder="1" applyAlignment="1">
      <alignment vertical="center" wrapText="1"/>
    </xf>
    <xf numFmtId="3" fontId="7" fillId="3" borderId="0" xfId="7" applyNumberFormat="1" applyFont="1" applyFill="1" applyBorder="1" applyAlignment="1">
      <alignment vertical="center" wrapText="1"/>
    </xf>
    <xf numFmtId="3" fontId="7" fillId="3" borderId="0" xfId="8" applyNumberFormat="1" applyFont="1" applyFill="1" applyBorder="1" applyAlignment="1">
      <alignment vertical="center" wrapText="1"/>
    </xf>
    <xf numFmtId="1" fontId="7" fillId="3" borderId="1" xfId="7" applyNumberFormat="1" applyFont="1" applyFill="1" applyBorder="1" applyAlignment="1">
      <alignment vertical="center" wrapText="1"/>
    </xf>
    <xf numFmtId="0" fontId="7" fillId="2" borderId="1" xfId="8" applyFont="1" applyFill="1" applyBorder="1" applyAlignment="1">
      <alignment vertical="center" wrapText="1"/>
    </xf>
    <xf numFmtId="0" fontId="7" fillId="2" borderId="1" xfId="8" applyFont="1" applyFill="1" applyBorder="1" applyAlignment="1">
      <alignment horizontal="left" vertical="center" wrapText="1"/>
    </xf>
    <xf numFmtId="0" fontId="7" fillId="2" borderId="0" xfId="5" applyFont="1" applyFill="1" applyBorder="1" applyAlignment="1"/>
    <xf numFmtId="0" fontId="7" fillId="7" borderId="1" xfId="5" applyFont="1" applyFill="1" applyBorder="1" applyAlignment="1">
      <alignment vertical="center" wrapText="1"/>
    </xf>
    <xf numFmtId="0" fontId="7" fillId="6" borderId="1" xfId="5" applyFont="1" applyFill="1" applyBorder="1" applyAlignment="1"/>
    <xf numFmtId="0" fontId="7" fillId="7" borderId="1" xfId="5" applyFont="1" applyFill="1" applyBorder="1" applyAlignment="1">
      <alignment horizontal="left" vertical="center" wrapText="1"/>
    </xf>
    <xf numFmtId="1" fontId="7" fillId="2" borderId="0" xfId="8" applyNumberFormat="1" applyFont="1" applyFill="1" applyBorder="1" applyAlignment="1">
      <alignment vertical="center" wrapText="1"/>
    </xf>
    <xf numFmtId="1" fontId="7" fillId="3" borderId="3" xfId="8" applyNumberFormat="1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vertical="center" wrapText="1"/>
    </xf>
    <xf numFmtId="0" fontId="7" fillId="2" borderId="0" xfId="8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 applyProtection="1">
      <alignment horizontal="right"/>
      <protection locked="0"/>
    </xf>
    <xf numFmtId="0" fontId="0" fillId="5" borderId="0" xfId="0" applyFill="1"/>
    <xf numFmtId="3" fontId="7" fillId="6" borderId="0" xfId="0" applyNumberFormat="1" applyFont="1" applyFill="1" applyBorder="1" applyAlignment="1" applyProtection="1">
      <alignment horizontal="right" vertical="center"/>
      <protection locked="0"/>
    </xf>
    <xf numFmtId="3" fontId="7" fillId="6" borderId="5" xfId="0" applyNumberFormat="1" applyFont="1" applyFill="1" applyBorder="1" applyAlignment="1">
      <alignment vertical="center" wrapText="1"/>
    </xf>
    <xf numFmtId="3" fontId="7" fillId="5" borderId="0" xfId="0" applyNumberFormat="1" applyFont="1" applyFill="1" applyBorder="1" applyAlignment="1"/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3" applyFont="1" applyFill="1" applyBorder="1" applyAlignment="1">
      <alignment vertical="center" wrapText="1"/>
    </xf>
    <xf numFmtId="0" fontId="7" fillId="4" borderId="0" xfId="3" applyFont="1" applyFill="1" applyBorder="1" applyAlignment="1">
      <alignment horizontal="left" vertical="center" wrapText="1"/>
    </xf>
    <xf numFmtId="0" fontId="7" fillId="4" borderId="0" xfId="3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1" xfId="8" applyFont="1" applyFill="1" applyBorder="1" applyAlignment="1">
      <alignment vertical="center" wrapText="1"/>
    </xf>
    <xf numFmtId="0" fontId="7" fillId="6" borderId="1" xfId="8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3" xfId="0" applyNumberFormat="1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3" fontId="0" fillId="0" borderId="0" xfId="0" applyNumberFormat="1"/>
    <xf numFmtId="0" fontId="7" fillId="2" borderId="0" xfId="0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5" borderId="7" xfId="0" applyFont="1" applyFill="1" applyBorder="1" applyAlignment="1">
      <alignment horizontal="right" vertical="center" wrapText="1"/>
    </xf>
    <xf numFmtId="3" fontId="8" fillId="4" borderId="7" xfId="0" applyNumberFormat="1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right" vertical="center" wrapText="1"/>
    </xf>
    <xf numFmtId="1" fontId="7" fillId="4" borderId="7" xfId="0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1" fillId="0" borderId="0" xfId="0" applyNumberFormat="1" applyFont="1"/>
    <xf numFmtId="0" fontId="7" fillId="5" borderId="0" xfId="10" applyFont="1" applyFill="1" applyBorder="1" applyAlignment="1">
      <alignment horizontal="right" vertical="center" wrapText="1"/>
    </xf>
    <xf numFmtId="3" fontId="7" fillId="4" borderId="0" xfId="10" applyNumberFormat="1" applyFont="1" applyFill="1" applyBorder="1" applyAlignment="1">
      <alignment vertical="center" wrapText="1"/>
    </xf>
    <xf numFmtId="0" fontId="7" fillId="5" borderId="0" xfId="10" applyFont="1" applyFill="1" applyBorder="1" applyAlignment="1">
      <alignment horizontal="left" vertical="center" wrapText="1"/>
    </xf>
    <xf numFmtId="1" fontId="7" fillId="4" borderId="0" xfId="9" applyNumberFormat="1" applyFont="1" applyFill="1" applyBorder="1" applyAlignment="1">
      <alignment horizontal="right" vertical="center" wrapText="1"/>
    </xf>
    <xf numFmtId="3" fontId="7" fillId="4" borderId="0" xfId="9" applyNumberFormat="1" applyFont="1" applyFill="1" applyBorder="1" applyAlignment="1">
      <alignment vertical="center" wrapText="1"/>
    </xf>
    <xf numFmtId="1" fontId="7" fillId="4" borderId="0" xfId="9" applyNumberFormat="1" applyFont="1" applyFill="1" applyBorder="1" applyAlignment="1">
      <alignment horizontal="left" vertical="center" wrapText="1"/>
    </xf>
    <xf numFmtId="1" fontId="7" fillId="4" borderId="0" xfId="4" applyNumberFormat="1" applyFont="1" applyFill="1" applyBorder="1" applyAlignment="1">
      <alignment horizontal="left" vertical="center" wrapText="1"/>
    </xf>
    <xf numFmtId="1" fontId="7" fillId="4" borderId="0" xfId="4" applyNumberFormat="1" applyFont="1" applyFill="1" applyBorder="1" applyAlignment="1">
      <alignment horizontal="right" vertical="center" wrapText="1"/>
    </xf>
    <xf numFmtId="3" fontId="7" fillId="4" borderId="0" xfId="4" applyNumberFormat="1" applyFont="1" applyFill="1" applyBorder="1" applyAlignment="1">
      <alignment vertical="center" wrapText="1"/>
    </xf>
    <xf numFmtId="3" fontId="7" fillId="4" borderId="0" xfId="12" applyNumberFormat="1" applyFont="1" applyFill="1" applyBorder="1" applyAlignment="1">
      <alignment vertical="center" wrapText="1"/>
    </xf>
    <xf numFmtId="3" fontId="7" fillId="4" borderId="0" xfId="13" applyNumberFormat="1" applyFont="1" applyFill="1" applyBorder="1" applyAlignment="1">
      <alignment vertical="center" wrapText="1"/>
    </xf>
    <xf numFmtId="3" fontId="7" fillId="4" borderId="0" xfId="14" applyNumberFormat="1" applyFont="1" applyFill="1" applyBorder="1" applyAlignment="1">
      <alignment vertical="center" wrapText="1"/>
    </xf>
    <xf numFmtId="3" fontId="7" fillId="4" borderId="0" xfId="15" applyNumberFormat="1" applyFont="1" applyFill="1" applyBorder="1" applyAlignment="1">
      <alignment vertical="center" wrapText="1"/>
    </xf>
    <xf numFmtId="3" fontId="7" fillId="4" borderId="0" xfId="16" applyNumberFormat="1" applyFont="1" applyFill="1" applyBorder="1" applyAlignment="1">
      <alignment vertical="center" wrapText="1"/>
    </xf>
    <xf numFmtId="1" fontId="7" fillId="4" borderId="0" xfId="11" applyNumberFormat="1" applyFont="1" applyFill="1" applyBorder="1" applyAlignment="1">
      <alignment horizontal="right" vertical="center" wrapText="1"/>
    </xf>
    <xf numFmtId="3" fontId="7" fillId="4" borderId="0" xfId="11" applyNumberFormat="1" applyFont="1" applyFill="1" applyBorder="1" applyAlignment="1">
      <alignment vertical="center" wrapText="1"/>
    </xf>
    <xf numFmtId="1" fontId="7" fillId="4" borderId="0" xfId="11" applyNumberFormat="1" applyFont="1" applyFill="1" applyBorder="1" applyAlignment="1">
      <alignment horizontal="left" vertical="center" wrapText="1"/>
    </xf>
    <xf numFmtId="1" fontId="7" fillId="4" borderId="0" xfId="2" applyNumberFormat="1" applyFont="1" applyFill="1" applyBorder="1" applyAlignment="1">
      <alignment horizontal="right" vertical="center" wrapText="1"/>
    </xf>
    <xf numFmtId="1" fontId="7" fillId="4" borderId="0" xfId="2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3" fontId="7" fillId="4" borderId="0" xfId="6" applyNumberFormat="1" applyFont="1" applyFill="1" applyBorder="1" applyAlignment="1">
      <alignment vertical="center" wrapText="1"/>
    </xf>
    <xf numFmtId="1" fontId="7" fillId="4" borderId="0" xfId="6" applyNumberFormat="1" applyFont="1" applyFill="1" applyBorder="1" applyAlignment="1">
      <alignment horizontal="left" vertical="center" wrapText="1"/>
    </xf>
    <xf numFmtId="1" fontId="7" fillId="4" borderId="0" xfId="6" applyNumberFormat="1" applyFont="1" applyFill="1" applyBorder="1" applyAlignment="1">
      <alignment horizontal="right" vertical="center" wrapText="1"/>
    </xf>
    <xf numFmtId="3" fontId="7" fillId="7" borderId="0" xfId="6" applyNumberFormat="1" applyFont="1" applyFill="1" applyBorder="1" applyAlignment="1">
      <alignment horizontal="left" vertical="center" wrapText="1"/>
    </xf>
    <xf numFmtId="3" fontId="7" fillId="3" borderId="0" xfId="6" applyNumberFormat="1" applyFont="1" applyFill="1" applyBorder="1" applyAlignment="1">
      <alignment horizontal="left" vertical="center" wrapText="1"/>
    </xf>
    <xf numFmtId="3" fontId="7" fillId="4" borderId="0" xfId="6" applyNumberFormat="1" applyFont="1" applyFill="1" applyBorder="1" applyAlignment="1">
      <alignment horizontal="left" vertical="center" wrapText="1"/>
    </xf>
    <xf numFmtId="3" fontId="7" fillId="4" borderId="0" xfId="7" applyNumberFormat="1" applyFont="1" applyFill="1" applyBorder="1" applyAlignment="1">
      <alignment vertical="center" wrapText="1"/>
    </xf>
    <xf numFmtId="0" fontId="7" fillId="5" borderId="0" xfId="7" applyFont="1" applyFill="1" applyBorder="1" applyAlignment="1">
      <alignment horizontal="left" vertical="center" wrapText="1"/>
    </xf>
    <xf numFmtId="1" fontId="7" fillId="5" borderId="0" xfId="7" applyNumberFormat="1" applyFont="1" applyFill="1" applyBorder="1" applyAlignment="1">
      <alignment horizontal="right" vertical="center" wrapText="1"/>
    </xf>
    <xf numFmtId="3" fontId="7" fillId="4" borderId="0" xfId="8" applyNumberFormat="1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5" applyFont="1" applyFill="1" applyBorder="1" applyAlignment="1">
      <alignment horizontal="left" vertical="center" wrapText="1"/>
    </xf>
    <xf numFmtId="3" fontId="7" fillId="7" borderId="0" xfId="7" applyNumberFormat="1" applyFont="1" applyFill="1" applyBorder="1" applyAlignment="1">
      <alignment horizontal="left" vertical="center" wrapText="1"/>
    </xf>
    <xf numFmtId="3" fontId="7" fillId="3" borderId="0" xfId="7" applyNumberFormat="1" applyFont="1" applyFill="1" applyBorder="1" applyAlignment="1">
      <alignment horizontal="left" vertical="center" wrapText="1"/>
    </xf>
    <xf numFmtId="3" fontId="7" fillId="4" borderId="0" xfId="7" applyNumberFormat="1" applyFont="1" applyFill="1" applyBorder="1" applyAlignment="1">
      <alignment horizontal="lef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left" vertical="center" wrapText="1"/>
    </xf>
    <xf numFmtId="3" fontId="7" fillId="7" borderId="0" xfId="7" applyNumberFormat="1" applyFont="1" applyFill="1" applyBorder="1" applyAlignment="1">
      <alignment horizontal="right" vertical="center" wrapText="1"/>
    </xf>
    <xf numFmtId="3" fontId="7" fillId="3" borderId="0" xfId="7" applyNumberFormat="1" applyFont="1" applyFill="1" applyBorder="1" applyAlignment="1">
      <alignment horizontal="right" vertical="center" wrapText="1"/>
    </xf>
    <xf numFmtId="3" fontId="7" fillId="4" borderId="0" xfId="7" applyNumberFormat="1" applyFont="1" applyFill="1" applyBorder="1" applyAlignment="1">
      <alignment horizontal="right" vertical="center" wrapText="1"/>
    </xf>
    <xf numFmtId="3" fontId="7" fillId="4" borderId="7" xfId="7" applyNumberFormat="1" applyFont="1" applyFill="1" applyBorder="1" applyAlignment="1">
      <alignment horizontal="right" vertical="center" wrapText="1"/>
    </xf>
    <xf numFmtId="3" fontId="7" fillId="4" borderId="7" xfId="7" applyNumberFormat="1" applyFont="1" applyFill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/>
    <xf numFmtId="3" fontId="7" fillId="4" borderId="0" xfId="0" applyNumberFormat="1" applyFont="1" applyFill="1" applyBorder="1" applyAlignment="1">
      <alignment horizontal="left" vertical="center" wrapText="1"/>
    </xf>
    <xf numFmtId="3" fontId="7" fillId="7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/>
    <xf numFmtId="0" fontId="5" fillId="5" borderId="0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3" fontId="7" fillId="6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3" borderId="0" xfId="11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right" vertical="center" wrapText="1"/>
    </xf>
    <xf numFmtId="0" fontId="8" fillId="6" borderId="0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 vertical="center" wrapText="1"/>
    </xf>
    <xf numFmtId="0" fontId="4" fillId="0" borderId="0" xfId="0" applyFont="1"/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vertical="center" wrapText="1"/>
    </xf>
    <xf numFmtId="3" fontId="8" fillId="6" borderId="0" xfId="0" applyNumberFormat="1" applyFont="1" applyFill="1" applyBorder="1" applyAlignment="1">
      <alignment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6" borderId="0" xfId="0" applyNumberFormat="1" applyFont="1" applyFill="1" applyBorder="1" applyAlignment="1"/>
    <xf numFmtId="0" fontId="8" fillId="6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vertical="center" wrapText="1"/>
    </xf>
    <xf numFmtId="3" fontId="8" fillId="0" borderId="0" xfId="0" applyNumberFormat="1" applyFont="1" applyBorder="1" applyAlignment="1"/>
    <xf numFmtId="0" fontId="8" fillId="2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8" fillId="5" borderId="0" xfId="0" applyNumberFormat="1" applyFont="1" applyFill="1" applyBorder="1" applyAlignment="1"/>
    <xf numFmtId="0" fontId="8" fillId="5" borderId="0" xfId="0" applyFont="1" applyFill="1" applyBorder="1" applyAlignment="1">
      <alignment horizontal="left" vertical="center" wrapText="1"/>
    </xf>
    <xf numFmtId="0" fontId="8" fillId="0" borderId="0" xfId="0" applyFont="1"/>
    <xf numFmtId="0" fontId="8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/>
    </xf>
    <xf numFmtId="0" fontId="7" fillId="3" borderId="3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7" fillId="2" borderId="3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1" fontId="7" fillId="3" borderId="0" xfId="7" applyNumberFormat="1" applyFont="1" applyFill="1" applyBorder="1" applyAlignment="1">
      <alignment horizontal="right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  <xf numFmtId="1" fontId="1" fillId="0" borderId="0" xfId="0" applyNumberFormat="1" applyFont="1" applyAlignment="1"/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center" wrapText="1" readingOrder="1"/>
    </xf>
    <xf numFmtId="3" fontId="7" fillId="5" borderId="0" xfId="0" applyNumberFormat="1" applyFont="1" applyFill="1" applyBorder="1" applyAlignment="1">
      <alignment horizontal="center"/>
    </xf>
    <xf numFmtId="3" fontId="7" fillId="6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0" fillId="6" borderId="0" xfId="0" applyFill="1"/>
    <xf numFmtId="3" fontId="7" fillId="9" borderId="0" xfId="0" applyNumberFormat="1" applyFont="1" applyFill="1" applyBorder="1" applyAlignment="1"/>
    <xf numFmtId="1" fontId="7" fillId="10" borderId="0" xfId="0" applyNumberFormat="1" applyFont="1" applyFill="1" applyBorder="1" applyAlignment="1">
      <alignment horizontal="left" vertical="center" wrapText="1"/>
    </xf>
    <xf numFmtId="0" fontId="0" fillId="9" borderId="0" xfId="0" applyFill="1"/>
    <xf numFmtId="0" fontId="4" fillId="5" borderId="0" xfId="0" applyFont="1" applyFill="1"/>
    <xf numFmtId="1" fontId="7" fillId="2" borderId="0" xfId="7" applyNumberFormat="1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3" fontId="7" fillId="7" borderId="6" xfId="0" applyNumberFormat="1" applyFont="1" applyFill="1" applyBorder="1" applyAlignment="1">
      <alignment horizontal="center" vertical="center" wrapText="1"/>
    </xf>
    <xf numFmtId="3" fontId="7" fillId="7" borderId="6" xfId="0" applyNumberFormat="1" applyFont="1" applyFill="1" applyBorder="1" applyAlignment="1">
      <alignment horizontal="right" vertical="center" wrapText="1"/>
    </xf>
    <xf numFmtId="38" fontId="7" fillId="5" borderId="0" xfId="0" applyNumberFormat="1" applyFont="1" applyFill="1" applyBorder="1" applyAlignment="1"/>
    <xf numFmtId="38" fontId="7" fillId="6" borderId="0" xfId="0" applyNumberFormat="1" applyFont="1" applyFill="1" applyBorder="1" applyAlignment="1"/>
    <xf numFmtId="38" fontId="7" fillId="7" borderId="0" xfId="0" applyNumberFormat="1" applyFont="1" applyFill="1" applyBorder="1" applyAlignment="1">
      <alignment horizontal="left" vertical="center" wrapText="1"/>
    </xf>
    <xf numFmtId="38" fontId="7" fillId="4" borderId="0" xfId="0" applyNumberFormat="1" applyFont="1" applyFill="1" applyBorder="1" applyAlignment="1">
      <alignment horizontal="left" vertical="center" wrapText="1"/>
    </xf>
    <xf numFmtId="3" fontId="7" fillId="1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left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166" fontId="7" fillId="4" borderId="0" xfId="0" applyNumberFormat="1" applyFont="1" applyFill="1" applyBorder="1" applyAlignment="1">
      <alignment vertical="center" wrapText="1"/>
    </xf>
    <xf numFmtId="166" fontId="7" fillId="7" borderId="0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/>
    </xf>
    <xf numFmtId="3" fontId="7" fillId="6" borderId="0" xfId="0" applyNumberFormat="1" applyFont="1" applyFill="1" applyBorder="1" applyAlignment="1">
      <alignment horizontal="right"/>
    </xf>
    <xf numFmtId="3" fontId="7" fillId="5" borderId="0" xfId="0" applyNumberFormat="1" applyFont="1" applyFill="1" applyBorder="1" applyAlignment="1" applyProtection="1">
      <alignment horizontal="center" vertical="center"/>
      <protection locked="0"/>
    </xf>
    <xf numFmtId="1" fontId="7" fillId="6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right" vertical="center" wrapText="1"/>
    </xf>
    <xf numFmtId="3" fontId="7" fillId="6" borderId="5" xfId="0" applyNumberFormat="1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3" fontId="9" fillId="6" borderId="0" xfId="0" applyNumberFormat="1" applyFont="1" applyFill="1" applyBorder="1" applyAlignment="1">
      <alignment horizontal="left" vertical="center" wrapText="1"/>
    </xf>
    <xf numFmtId="3" fontId="7" fillId="6" borderId="2" xfId="0" applyNumberFormat="1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right" vertical="center" wrapText="1"/>
    </xf>
    <xf numFmtId="3" fontId="8" fillId="4" borderId="2" xfId="0" applyNumberFormat="1" applyFont="1" applyFill="1" applyBorder="1" applyAlignment="1">
      <alignment horizontal="left" vertical="center" wrapText="1"/>
    </xf>
    <xf numFmtId="3" fontId="8" fillId="4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right" vertical="center" wrapText="1"/>
    </xf>
    <xf numFmtId="3" fontId="7" fillId="7" borderId="4" xfId="0" applyNumberFormat="1" applyFont="1" applyFill="1" applyBorder="1" applyAlignment="1">
      <alignment horizontal="left" vertical="center" wrapText="1"/>
    </xf>
    <xf numFmtId="3" fontId="7" fillId="6" borderId="4" xfId="0" applyNumberFormat="1" applyFont="1" applyFill="1" applyBorder="1" applyAlignment="1">
      <alignment horizontal="right"/>
    </xf>
    <xf numFmtId="1" fontId="7" fillId="7" borderId="4" xfId="0" applyNumberFormat="1" applyFont="1" applyFill="1" applyBorder="1" applyAlignment="1">
      <alignment horizontal="left" vertical="center" wrapText="1"/>
    </xf>
    <xf numFmtId="0" fontId="0" fillId="6" borderId="4" xfId="0" applyFill="1" applyBorder="1"/>
    <xf numFmtId="3" fontId="7" fillId="5" borderId="7" xfId="0" applyNumberFormat="1" applyFont="1" applyFill="1" applyBorder="1" applyAlignment="1">
      <alignment horizontal="left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1" fontId="8" fillId="5" borderId="7" xfId="0" applyNumberFormat="1" applyFont="1" applyFill="1" applyBorder="1" applyAlignment="1">
      <alignment horizontal="left" vertical="center" wrapText="1"/>
    </xf>
    <xf numFmtId="0" fontId="4" fillId="6" borderId="0" xfId="0" applyFont="1" applyFill="1"/>
    <xf numFmtId="3" fontId="7" fillId="5" borderId="0" xfId="0" applyNumberFormat="1" applyFont="1" applyFill="1" applyBorder="1" applyAlignment="1">
      <alignment horizontal="center" wrapText="1" readingOrder="1"/>
    </xf>
    <xf numFmtId="1" fontId="15" fillId="4" borderId="0" xfId="0" applyNumberFormat="1" applyFont="1" applyFill="1" applyBorder="1" applyAlignment="1">
      <alignment horizontal="righ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1" fontId="7" fillId="6" borderId="0" xfId="0" applyNumberFormat="1" applyFont="1" applyFill="1"/>
    <xf numFmtId="1" fontId="7" fillId="5" borderId="0" xfId="0" applyNumberFormat="1" applyFont="1" applyFill="1"/>
    <xf numFmtId="0" fontId="0" fillId="6" borderId="0" xfId="0" applyFill="1" applyBorder="1"/>
    <xf numFmtId="0" fontId="0" fillId="5" borderId="0" xfId="0" applyFill="1" applyBorder="1"/>
    <xf numFmtId="1" fontId="7" fillId="6" borderId="0" xfId="0" applyNumberFormat="1" applyFont="1" applyFill="1" applyBorder="1"/>
    <xf numFmtId="0" fontId="7" fillId="6" borderId="8" xfId="0" applyFont="1" applyFill="1" applyBorder="1" applyAlignment="1">
      <alignment horizontal="righ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right" vertical="center" wrapText="1"/>
    </xf>
    <xf numFmtId="1" fontId="7" fillId="4" borderId="3" xfId="0" applyNumberFormat="1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vertical="center" wrapText="1"/>
    </xf>
    <xf numFmtId="0" fontId="0" fillId="5" borderId="3" xfId="0" applyFill="1" applyBorder="1"/>
    <xf numFmtId="0" fontId="8" fillId="5" borderId="9" xfId="0" applyFont="1" applyFill="1" applyBorder="1" applyAlignment="1">
      <alignment horizontal="right" vertical="center" wrapText="1"/>
    </xf>
    <xf numFmtId="3" fontId="7" fillId="4" borderId="9" xfId="0" applyNumberFormat="1" applyFont="1" applyFill="1" applyBorder="1" applyAlignment="1">
      <alignment vertical="center" wrapText="1"/>
    </xf>
    <xf numFmtId="3" fontId="7" fillId="5" borderId="9" xfId="0" applyNumberFormat="1" applyFont="1" applyFill="1" applyBorder="1" applyAlignment="1"/>
    <xf numFmtId="1" fontId="8" fillId="4" borderId="9" xfId="0" applyNumberFormat="1" applyFont="1" applyFill="1" applyBorder="1" applyAlignment="1">
      <alignment horizontal="left" vertical="center" wrapText="1"/>
    </xf>
    <xf numFmtId="0" fontId="0" fillId="5" borderId="9" xfId="0" applyFill="1" applyBorder="1"/>
    <xf numFmtId="0" fontId="7" fillId="5" borderId="0" xfId="0" applyFont="1" applyFill="1" applyBorder="1" applyAlignment="1">
      <alignment horizontal="center"/>
    </xf>
    <xf numFmtId="0" fontId="0" fillId="6" borderId="1" xfId="0" applyFill="1" applyBorder="1"/>
    <xf numFmtId="0" fontId="7" fillId="6" borderId="9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0" fillId="6" borderId="9" xfId="0" applyFill="1" applyBorder="1"/>
    <xf numFmtId="0" fontId="7" fillId="4" borderId="9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0" xfId="9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vertical="center" wrapText="1"/>
    </xf>
    <xf numFmtId="0" fontId="7" fillId="5" borderId="9" xfId="9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right" vertical="center" wrapText="1"/>
    </xf>
    <xf numFmtId="1" fontId="7" fillId="4" borderId="9" xfId="9" applyNumberFormat="1" applyFont="1" applyFill="1" applyBorder="1" applyAlignment="1">
      <alignment horizontal="right" vertical="center" wrapText="1"/>
    </xf>
    <xf numFmtId="1" fontId="7" fillId="5" borderId="9" xfId="9" applyNumberFormat="1" applyFont="1" applyFill="1" applyBorder="1" applyAlignment="1">
      <alignment horizontal="left" vertical="center" wrapText="1"/>
    </xf>
    <xf numFmtId="0" fontId="7" fillId="7" borderId="0" xfId="9" applyFont="1" applyFill="1" applyBorder="1" applyAlignment="1">
      <alignment horizontal="right" vertical="center" wrapText="1"/>
    </xf>
    <xf numFmtId="1" fontId="7" fillId="6" borderId="0" xfId="9" applyNumberFormat="1" applyFont="1" applyFill="1" applyBorder="1" applyAlignment="1">
      <alignment horizontal="left" vertical="center" wrapText="1"/>
    </xf>
    <xf numFmtId="3" fontId="7" fillId="4" borderId="9" xfId="9" applyNumberFormat="1" applyFont="1" applyFill="1" applyBorder="1" applyAlignment="1">
      <alignment vertical="center" wrapText="1"/>
    </xf>
    <xf numFmtId="0" fontId="7" fillId="5" borderId="0" xfId="10" applyFont="1" applyFill="1" applyBorder="1" applyAlignment="1">
      <alignment vertical="center" wrapText="1"/>
    </xf>
    <xf numFmtId="0" fontId="7" fillId="4" borderId="0" xfId="10" applyFont="1" applyFill="1" applyBorder="1" applyAlignment="1">
      <alignment horizontal="right" vertical="center" wrapText="1"/>
    </xf>
    <xf numFmtId="1" fontId="7" fillId="4" borderId="0" xfId="10" applyNumberFormat="1" applyFont="1" applyFill="1" applyBorder="1" applyAlignment="1">
      <alignment horizontal="right" vertical="center" wrapText="1"/>
    </xf>
    <xf numFmtId="1" fontId="7" fillId="5" borderId="0" xfId="10" applyNumberFormat="1" applyFont="1" applyFill="1" applyBorder="1" applyAlignment="1">
      <alignment vertical="center" wrapText="1"/>
    </xf>
    <xf numFmtId="0" fontId="7" fillId="5" borderId="3" xfId="10" applyFont="1" applyFill="1" applyBorder="1" applyAlignment="1">
      <alignment vertical="center" wrapText="1"/>
    </xf>
    <xf numFmtId="0" fontId="7" fillId="5" borderId="3" xfId="10" applyFont="1" applyFill="1" applyBorder="1" applyAlignment="1">
      <alignment horizontal="right" vertical="center" wrapText="1"/>
    </xf>
    <xf numFmtId="1" fontId="7" fillId="5" borderId="3" xfId="10" applyNumberFormat="1" applyFont="1" applyFill="1" applyBorder="1" applyAlignment="1">
      <alignment horizontal="left" vertical="center" wrapText="1"/>
    </xf>
    <xf numFmtId="1" fontId="7" fillId="7" borderId="0" xfId="10" applyNumberFormat="1" applyFont="1" applyFill="1" applyBorder="1" applyAlignment="1">
      <alignment horizontal="right" vertical="center" wrapText="1"/>
    </xf>
    <xf numFmtId="0" fontId="7" fillId="4" borderId="9" xfId="10" applyFont="1" applyFill="1" applyBorder="1" applyAlignment="1">
      <alignment vertical="center" wrapText="1"/>
    </xf>
    <xf numFmtId="3" fontId="7" fillId="4" borderId="9" xfId="10" applyNumberFormat="1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6" borderId="3" xfId="0" applyFill="1" applyBorder="1"/>
    <xf numFmtId="0" fontId="0" fillId="0" borderId="3" xfId="0" applyBorder="1"/>
    <xf numFmtId="1" fontId="7" fillId="4" borderId="9" xfId="0" applyNumberFormat="1" applyFont="1" applyFill="1" applyBorder="1" applyAlignment="1">
      <alignment horizontal="right" vertical="center" wrapText="1"/>
    </xf>
    <xf numFmtId="1" fontId="7" fillId="4" borderId="9" xfId="0" applyNumberFormat="1" applyFont="1" applyFill="1" applyBorder="1" applyAlignment="1">
      <alignment horizontal="left" vertical="center" wrapText="1"/>
    </xf>
    <xf numFmtId="0" fontId="7" fillId="4" borderId="0" xfId="11" applyFont="1" applyFill="1" applyBorder="1" applyAlignment="1">
      <alignment horizontal="center" vertical="center" wrapText="1"/>
    </xf>
    <xf numFmtId="0" fontId="7" fillId="4" borderId="0" xfId="11" applyFont="1" applyFill="1" applyBorder="1" applyAlignment="1">
      <alignment vertical="center" wrapText="1"/>
    </xf>
    <xf numFmtId="1" fontId="7" fillId="4" borderId="3" xfId="11" applyNumberFormat="1" applyFont="1" applyFill="1" applyBorder="1" applyAlignment="1">
      <alignment horizontal="center" vertical="center" wrapText="1"/>
    </xf>
    <xf numFmtId="11" fontId="7" fillId="4" borderId="3" xfId="2" applyNumberFormat="1" applyFont="1" applyFill="1" applyBorder="1" applyAlignment="1">
      <alignment horizontal="center" vertical="center" wrapText="1"/>
    </xf>
    <xf numFmtId="0" fontId="7" fillId="4" borderId="3" xfId="11" applyFont="1" applyFill="1" applyBorder="1" applyAlignment="1">
      <alignment horizontal="center" vertical="center" wrapText="1"/>
    </xf>
    <xf numFmtId="0" fontId="7" fillId="7" borderId="0" xfId="11" applyFont="1" applyFill="1" applyBorder="1" applyAlignment="1">
      <alignment horizontal="right" vertical="center" wrapText="1"/>
    </xf>
    <xf numFmtId="0" fontId="7" fillId="7" borderId="0" xfId="11" applyFont="1" applyFill="1" applyBorder="1" applyAlignment="1">
      <alignment horizontal="left" vertical="center" wrapText="1"/>
    </xf>
    <xf numFmtId="0" fontId="1" fillId="6" borderId="0" xfId="0" applyFont="1" applyFill="1"/>
    <xf numFmtId="1" fontId="7" fillId="4" borderId="9" xfId="11" applyNumberFormat="1" applyFont="1" applyFill="1" applyBorder="1" applyAlignment="1">
      <alignment horizontal="right" vertical="center" wrapText="1"/>
    </xf>
    <xf numFmtId="3" fontId="7" fillId="4" borderId="9" xfId="11" applyNumberFormat="1" applyFont="1" applyFill="1" applyBorder="1" applyAlignment="1">
      <alignment vertical="center" wrapText="1"/>
    </xf>
    <xf numFmtId="1" fontId="7" fillId="4" borderId="9" xfId="11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vertical="center" wrapText="1"/>
    </xf>
    <xf numFmtId="0" fontId="7" fillId="4" borderId="0" xfId="2" applyFont="1" applyFill="1" applyBorder="1" applyAlignment="1">
      <alignment horizontal="center" vertical="center" wrapText="1"/>
    </xf>
    <xf numFmtId="11" fontId="7" fillId="4" borderId="0" xfId="2" applyNumberFormat="1" applyFont="1" applyFill="1" applyBorder="1" applyAlignment="1">
      <alignment horizontal="right" vertical="center" wrapText="1"/>
    </xf>
    <xf numFmtId="0" fontId="7" fillId="4" borderId="0" xfId="2" applyFont="1" applyFill="1" applyBorder="1" applyAlignment="1">
      <alignment horizontal="right" vertical="center" wrapText="1"/>
    </xf>
    <xf numFmtId="0" fontId="7" fillId="4" borderId="9" xfId="2" applyFont="1" applyFill="1" applyBorder="1" applyAlignment="1">
      <alignment vertical="center" wrapText="1"/>
    </xf>
    <xf numFmtId="0" fontId="7" fillId="4" borderId="9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right" vertical="center" wrapText="1"/>
    </xf>
    <xf numFmtId="3" fontId="7" fillId="7" borderId="1" xfId="11" applyNumberFormat="1" applyFont="1" applyFill="1" applyBorder="1" applyAlignment="1">
      <alignment vertical="center" wrapText="1"/>
    </xf>
    <xf numFmtId="3" fontId="7" fillId="7" borderId="1" xfId="2" applyNumberFormat="1" applyFont="1" applyFill="1" applyBorder="1" applyAlignment="1">
      <alignment vertical="center" wrapText="1"/>
    </xf>
    <xf numFmtId="3" fontId="7" fillId="3" borderId="0" xfId="2" applyNumberFormat="1" applyFont="1" applyFill="1" applyBorder="1" applyAlignment="1">
      <alignment vertical="center" wrapText="1"/>
    </xf>
    <xf numFmtId="3" fontId="7" fillId="7" borderId="0" xfId="2" applyNumberFormat="1" applyFont="1" applyFill="1" applyBorder="1" applyAlignment="1">
      <alignment vertical="center" wrapText="1"/>
    </xf>
    <xf numFmtId="3" fontId="7" fillId="4" borderId="0" xfId="2" applyNumberFormat="1" applyFont="1" applyFill="1" applyBorder="1" applyAlignment="1">
      <alignment vertical="center" wrapText="1"/>
    </xf>
    <xf numFmtId="3" fontId="7" fillId="4" borderId="9" xfId="2" applyNumberFormat="1" applyFont="1" applyFill="1" applyBorder="1" applyAlignment="1">
      <alignment vertical="center" wrapText="1"/>
    </xf>
    <xf numFmtId="0" fontId="0" fillId="5" borderId="0" xfId="0" applyFill="1" applyBorder="1" applyAlignment="1">
      <alignment horizontal="right"/>
    </xf>
    <xf numFmtId="1" fontId="7" fillId="3" borderId="3" xfId="6" applyNumberFormat="1" applyFont="1" applyFill="1" applyBorder="1" applyAlignment="1">
      <alignment horizontal="right" vertical="center" wrapText="1"/>
    </xf>
    <xf numFmtId="0" fontId="7" fillId="5" borderId="0" xfId="6" applyFont="1" applyFill="1" applyBorder="1" applyAlignment="1">
      <alignment horizontal="center" vertical="center" wrapText="1"/>
    </xf>
    <xf numFmtId="0" fontId="7" fillId="5" borderId="0" xfId="6" applyFont="1" applyFill="1" applyBorder="1" applyAlignment="1">
      <alignment horizontal="right" vertical="center" wrapText="1"/>
    </xf>
    <xf numFmtId="0" fontId="7" fillId="4" borderId="0" xfId="6" applyFont="1" applyFill="1" applyBorder="1" applyAlignment="1">
      <alignment vertical="center" wrapText="1"/>
    </xf>
    <xf numFmtId="0" fontId="7" fillId="4" borderId="0" xfId="6" applyFont="1" applyFill="1" applyBorder="1" applyAlignment="1">
      <alignment horizontal="center" vertical="center" wrapText="1"/>
    </xf>
    <xf numFmtId="1" fontId="7" fillId="4" borderId="0" xfId="6" applyNumberFormat="1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" fontId="7" fillId="4" borderId="3" xfId="6" applyNumberFormat="1" applyFont="1" applyFill="1" applyBorder="1" applyAlignment="1">
      <alignment horizontal="center" vertical="center" wrapText="1"/>
    </xf>
    <xf numFmtId="1" fontId="7" fillId="4" borderId="3" xfId="6" applyNumberFormat="1" applyFont="1" applyFill="1" applyBorder="1" applyAlignment="1">
      <alignment horizontal="right" vertical="center" wrapText="1"/>
    </xf>
    <xf numFmtId="0" fontId="7" fillId="4" borderId="3" xfId="6" applyFont="1" applyFill="1" applyBorder="1" applyAlignment="1">
      <alignment vertical="center" wrapText="1"/>
    </xf>
    <xf numFmtId="1" fontId="7" fillId="4" borderId="9" xfId="6" applyNumberFormat="1" applyFont="1" applyFill="1" applyBorder="1" applyAlignment="1">
      <alignment horizontal="right" vertical="center" wrapText="1"/>
    </xf>
    <xf numFmtId="3" fontId="7" fillId="4" borderId="9" xfId="6" applyNumberFormat="1" applyFont="1" applyFill="1" applyBorder="1" applyAlignment="1">
      <alignment vertical="center" wrapText="1"/>
    </xf>
    <xf numFmtId="1" fontId="7" fillId="4" borderId="9" xfId="6" applyNumberFormat="1" applyFont="1" applyFill="1" applyBorder="1" applyAlignment="1">
      <alignment horizontal="left" vertical="center" wrapText="1"/>
    </xf>
    <xf numFmtId="0" fontId="7" fillId="6" borderId="0" xfId="6" applyFont="1" applyFill="1" applyBorder="1" applyAlignment="1">
      <alignment horizontal="right" vertical="center" wrapText="1"/>
    </xf>
    <xf numFmtId="0" fontId="7" fillId="6" borderId="0" xfId="6" applyFont="1" applyFill="1" applyBorder="1" applyAlignment="1">
      <alignment horizontal="left" vertical="center" wrapText="1"/>
    </xf>
    <xf numFmtId="0" fontId="7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vertical="center" wrapText="1"/>
    </xf>
    <xf numFmtId="0" fontId="7" fillId="3" borderId="3" xfId="3" applyFont="1" applyFill="1" applyBorder="1" applyAlignment="1">
      <alignment vertical="center" wrapText="1"/>
    </xf>
    <xf numFmtId="0" fontId="7" fillId="4" borderId="3" xfId="3" applyFont="1" applyFill="1" applyBorder="1" applyAlignment="1">
      <alignment horizontal="center" vertical="center" wrapText="1"/>
    </xf>
    <xf numFmtId="1" fontId="7" fillId="4" borderId="3" xfId="3" applyNumberFormat="1" applyFont="1" applyFill="1" applyBorder="1" applyAlignment="1">
      <alignment vertical="center" wrapText="1"/>
    </xf>
    <xf numFmtId="1" fontId="7" fillId="4" borderId="3" xfId="3" applyNumberFormat="1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vertical="center" wrapText="1"/>
    </xf>
    <xf numFmtId="3" fontId="7" fillId="4" borderId="9" xfId="6" applyNumberFormat="1" applyFont="1" applyFill="1" applyBorder="1" applyAlignment="1">
      <alignment horizontal="left" vertical="center" wrapText="1"/>
    </xf>
    <xf numFmtId="1" fontId="7" fillId="4" borderId="2" xfId="7" applyNumberFormat="1" applyFont="1" applyFill="1" applyBorder="1" applyAlignment="1">
      <alignment horizontal="right" vertical="center" wrapText="1"/>
    </xf>
    <xf numFmtId="0" fontId="7" fillId="4" borderId="2" xfId="7" applyFont="1" applyFill="1" applyBorder="1" applyAlignment="1">
      <alignment horizontal="right" vertical="center" wrapText="1"/>
    </xf>
    <xf numFmtId="0" fontId="7" fillId="4" borderId="2" xfId="8" applyFont="1" applyFill="1" applyBorder="1" applyAlignment="1">
      <alignment horizontal="right" vertical="center" wrapText="1"/>
    </xf>
    <xf numFmtId="1" fontId="7" fillId="4" borderId="2" xfId="7" applyNumberFormat="1" applyFont="1" applyFill="1" applyBorder="1" applyAlignment="1">
      <alignment horizontal="left" vertical="center" wrapText="1"/>
    </xf>
    <xf numFmtId="1" fontId="7" fillId="4" borderId="0" xfId="7" applyNumberFormat="1" applyFont="1" applyFill="1" applyBorder="1" applyAlignment="1">
      <alignment horizontal="right" vertical="center" wrapText="1"/>
    </xf>
    <xf numFmtId="0" fontId="7" fillId="4" borderId="0" xfId="7" applyFont="1" applyFill="1" applyBorder="1" applyAlignment="1">
      <alignment horizontal="right" vertical="center" wrapText="1"/>
    </xf>
    <xf numFmtId="1" fontId="7" fillId="4" borderId="0" xfId="8" applyNumberFormat="1" applyFont="1" applyFill="1" applyBorder="1" applyAlignment="1">
      <alignment horizontal="right" vertical="center" wrapText="1"/>
    </xf>
    <xf numFmtId="1" fontId="7" fillId="4" borderId="0" xfId="7" applyNumberFormat="1" applyFont="1" applyFill="1" applyBorder="1" applyAlignment="1">
      <alignment horizontal="center" vertical="center" wrapText="1"/>
    </xf>
    <xf numFmtId="0" fontId="0" fillId="5" borderId="2" xfId="0" applyFill="1" applyBorder="1"/>
    <xf numFmtId="0" fontId="7" fillId="6" borderId="5" xfId="6" applyFont="1" applyFill="1" applyBorder="1" applyAlignment="1">
      <alignment horizontal="right" vertical="center" wrapText="1"/>
    </xf>
    <xf numFmtId="3" fontId="7" fillId="7" borderId="5" xfId="7" applyNumberFormat="1" applyFont="1" applyFill="1" applyBorder="1" applyAlignment="1">
      <alignment vertical="center" wrapText="1"/>
    </xf>
    <xf numFmtId="3" fontId="7" fillId="7" borderId="5" xfId="8" applyNumberFormat="1" applyFont="1" applyFill="1" applyBorder="1" applyAlignment="1">
      <alignment vertical="center" wrapText="1"/>
    </xf>
    <xf numFmtId="3" fontId="7" fillId="7" borderId="5" xfId="6" applyNumberFormat="1" applyFont="1" applyFill="1" applyBorder="1" applyAlignment="1">
      <alignment horizontal="left" vertical="center" wrapText="1"/>
    </xf>
    <xf numFmtId="3" fontId="7" fillId="6" borderId="0" xfId="0" applyNumberFormat="1" applyFont="1" applyFill="1"/>
    <xf numFmtId="3" fontId="7" fillId="5" borderId="0" xfId="0" applyNumberFormat="1" applyFont="1" applyFill="1"/>
    <xf numFmtId="0" fontId="7" fillId="5" borderId="9" xfId="7" applyFont="1" applyFill="1" applyBorder="1" applyAlignment="1">
      <alignment vertical="center" wrapText="1"/>
    </xf>
    <xf numFmtId="3" fontId="7" fillId="4" borderId="9" xfId="7" applyNumberFormat="1" applyFont="1" applyFill="1" applyBorder="1" applyAlignment="1">
      <alignment vertical="center" wrapText="1"/>
    </xf>
    <xf numFmtId="0" fontId="7" fillId="5" borderId="9" xfId="7" applyFont="1" applyFill="1" applyBorder="1" applyAlignment="1">
      <alignment horizontal="left" vertical="center" wrapText="1"/>
    </xf>
    <xf numFmtId="3" fontId="7" fillId="7" borderId="3" xfId="7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4" borderId="0" xfId="5" applyFont="1" applyFill="1" applyBorder="1" applyAlignment="1">
      <alignment vertical="center" wrapText="1"/>
    </xf>
    <xf numFmtId="0" fontId="7" fillId="4" borderId="0" xfId="5" applyFont="1" applyFill="1" applyBorder="1" applyAlignment="1">
      <alignment horizontal="right" vertical="center" wrapText="1"/>
    </xf>
    <xf numFmtId="0" fontId="7" fillId="5" borderId="3" xfId="5" applyNumberFormat="1" applyFont="1" applyFill="1" applyBorder="1" applyAlignment="1">
      <alignment horizontal="right" vertical="center" wrapText="1"/>
    </xf>
    <xf numFmtId="0" fontId="7" fillId="4" borderId="3" xfId="5" applyNumberFormat="1" applyFont="1" applyFill="1" applyBorder="1" applyAlignment="1">
      <alignment horizontal="right" vertical="center" wrapText="1"/>
    </xf>
    <xf numFmtId="0" fontId="0" fillId="0" borderId="3" xfId="0" applyNumberFormat="1" applyBorder="1"/>
    <xf numFmtId="3" fontId="7" fillId="4" borderId="7" xfId="7" applyNumberFormat="1" applyFont="1" applyFill="1" applyBorder="1" applyAlignment="1">
      <alignment vertical="center" wrapText="1"/>
    </xf>
    <xf numFmtId="0" fontId="7" fillId="5" borderId="0" xfId="8" applyFont="1" applyFill="1" applyBorder="1" applyAlignment="1">
      <alignment vertical="center" wrapText="1"/>
    </xf>
    <xf numFmtId="0" fontId="7" fillId="4" borderId="0" xfId="8" applyFont="1" applyFill="1" applyBorder="1" applyAlignment="1">
      <alignment horizontal="center" vertical="center" wrapText="1"/>
    </xf>
    <xf numFmtId="1" fontId="7" fillId="4" borderId="0" xfId="8" applyNumberFormat="1" applyFont="1" applyFill="1" applyBorder="1" applyAlignment="1">
      <alignment horizontal="center" vertical="center" wrapText="1"/>
    </xf>
    <xf numFmtId="0" fontId="7" fillId="4" borderId="0" xfId="7" applyFont="1" applyFill="1" applyBorder="1" applyAlignment="1">
      <alignment horizontal="center" vertical="center" wrapText="1"/>
    </xf>
    <xf numFmtId="1" fontId="7" fillId="6" borderId="3" xfId="7" applyNumberFormat="1" applyFont="1" applyFill="1" applyBorder="1" applyAlignment="1">
      <alignment horizontal="right" vertical="center" wrapText="1"/>
    </xf>
    <xf numFmtId="0" fontId="7" fillId="4" borderId="9" xfId="5" applyFont="1" applyFill="1" applyBorder="1" applyAlignment="1">
      <alignment horizontal="right" vertical="center" wrapText="1"/>
    </xf>
    <xf numFmtId="0" fontId="7" fillId="4" borderId="9" xfId="5" applyFont="1" applyFill="1" applyBorder="1" applyAlignment="1">
      <alignment horizontal="left" vertical="center" wrapText="1"/>
    </xf>
    <xf numFmtId="0" fontId="0" fillId="0" borderId="9" xfId="0" applyBorder="1"/>
    <xf numFmtId="3" fontId="7" fillId="6" borderId="3" xfId="0" applyNumberFormat="1" applyFont="1" applyFill="1" applyBorder="1"/>
    <xf numFmtId="0" fontId="7" fillId="3" borderId="0" xfId="8" applyFont="1" applyFill="1" applyBorder="1" applyAlignment="1">
      <alignment horizontal="left" vertical="center" wrapText="1"/>
    </xf>
    <xf numFmtId="3" fontId="7" fillId="6" borderId="0" xfId="0" applyNumberFormat="1" applyFont="1" applyFill="1" applyBorder="1"/>
    <xf numFmtId="0" fontId="0" fillId="6" borderId="8" xfId="0" applyFill="1" applyBorder="1"/>
    <xf numFmtId="0" fontId="7" fillId="4" borderId="2" xfId="0" applyFont="1" applyFill="1" applyBorder="1" applyAlignment="1">
      <alignment horizontal="center" vertical="center" wrapText="1"/>
    </xf>
    <xf numFmtId="0" fontId="7" fillId="7" borderId="0" xfId="7" applyFont="1" applyFill="1" applyBorder="1" applyAlignment="1">
      <alignment horizontal="right" vertical="center" wrapText="1"/>
    </xf>
    <xf numFmtId="3" fontId="8" fillId="7" borderId="0" xfId="7" applyNumberFormat="1" applyFont="1" applyFill="1" applyBorder="1" applyAlignment="1">
      <alignment horizontal="left" vertical="center" wrapText="1"/>
    </xf>
    <xf numFmtId="3" fontId="8" fillId="4" borderId="0" xfId="7" applyNumberFormat="1" applyFont="1" applyFill="1" applyBorder="1" applyAlignment="1">
      <alignment horizontal="left" vertical="center" wrapText="1"/>
    </xf>
    <xf numFmtId="3" fontId="8" fillId="4" borderId="9" xfId="7" applyNumberFormat="1" applyFont="1" applyFill="1" applyBorder="1" applyAlignment="1">
      <alignment horizontal="left" vertical="center" wrapText="1"/>
    </xf>
    <xf numFmtId="3" fontId="7" fillId="8" borderId="0" xfId="7" applyNumberFormat="1" applyFont="1" applyFill="1" applyBorder="1" applyAlignment="1">
      <alignment horizontal="right" vertical="center" wrapText="1"/>
    </xf>
    <xf numFmtId="3" fontId="7" fillId="8" borderId="0" xfId="7" applyNumberFormat="1" applyFont="1" applyFill="1" applyBorder="1" applyAlignment="1">
      <alignment horizontal="left" vertical="center" wrapText="1"/>
    </xf>
    <xf numFmtId="0" fontId="0" fillId="11" borderId="0" xfId="0" applyFill="1"/>
    <xf numFmtId="3" fontId="7" fillId="10" borderId="0" xfId="7" applyNumberFormat="1" applyFont="1" applyFill="1" applyBorder="1" applyAlignment="1">
      <alignment horizontal="right" vertical="center" wrapText="1"/>
    </xf>
    <xf numFmtId="3" fontId="7" fillId="10" borderId="0" xfId="7" applyNumberFormat="1" applyFont="1" applyFill="1" applyBorder="1" applyAlignment="1">
      <alignment horizontal="left" vertical="center" wrapText="1"/>
    </xf>
    <xf numFmtId="2" fontId="7" fillId="7" borderId="0" xfId="7" applyNumberFormat="1" applyFont="1" applyFill="1" applyBorder="1" applyAlignment="1">
      <alignment horizontal="right" vertical="center" wrapText="1"/>
    </xf>
    <xf numFmtId="2" fontId="7" fillId="7" borderId="0" xfId="7" applyNumberFormat="1" applyFont="1" applyFill="1" applyBorder="1" applyAlignment="1">
      <alignment horizontal="left" vertical="center" wrapText="1"/>
    </xf>
    <xf numFmtId="2" fontId="0" fillId="6" borderId="0" xfId="0" applyNumberFormat="1" applyFill="1" applyBorder="1"/>
    <xf numFmtId="3" fontId="7" fillId="4" borderId="9" xfId="7" applyNumberFormat="1" applyFont="1" applyFill="1" applyBorder="1" applyAlignment="1">
      <alignment horizontal="right" vertical="center" wrapText="1"/>
    </xf>
    <xf numFmtId="0" fontId="0" fillId="9" borderId="0" xfId="0" applyFill="1" applyBorder="1"/>
    <xf numFmtId="0" fontId="7" fillId="9" borderId="1" xfId="0" applyFont="1" applyFill="1" applyBorder="1"/>
    <xf numFmtId="0" fontId="7" fillId="10" borderId="1" xfId="0" applyFont="1" applyFill="1" applyBorder="1" applyAlignment="1">
      <alignment horizontal="right" vertical="center" wrapText="1"/>
    </xf>
    <xf numFmtId="0" fontId="7" fillId="9" borderId="1" xfId="0" applyFont="1" applyFill="1" applyBorder="1" applyAlignment="1">
      <alignment vertical="center" wrapText="1"/>
    </xf>
    <xf numFmtId="0" fontId="0" fillId="9" borderId="1" xfId="0" applyFill="1" applyBorder="1"/>
    <xf numFmtId="0" fontId="7" fillId="5" borderId="3" xfId="0" applyFont="1" applyFill="1" applyBorder="1" applyAlignment="1">
      <alignment horizontal="right" wrapText="1"/>
    </xf>
    <xf numFmtId="0" fontId="7" fillId="10" borderId="0" xfId="0" applyFont="1" applyFill="1" applyBorder="1" applyAlignment="1">
      <alignment horizontal="right" vertical="center" wrapText="1"/>
    </xf>
    <xf numFmtId="0" fontId="7" fillId="10" borderId="0" xfId="0" applyFont="1" applyFill="1" applyBorder="1" applyAlignment="1">
      <alignment horizontal="left" vertical="center" wrapText="1"/>
    </xf>
    <xf numFmtId="1" fontId="7" fillId="10" borderId="0" xfId="0" applyNumberFormat="1" applyFont="1" applyFill="1" applyBorder="1" applyAlignment="1">
      <alignment horizontal="right" vertical="center" wrapText="1"/>
    </xf>
    <xf numFmtId="0" fontId="7" fillId="4" borderId="0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right" vertical="center" wrapText="1"/>
    </xf>
    <xf numFmtId="0" fontId="7" fillId="4" borderId="3" xfId="4" applyFont="1" applyFill="1" applyBorder="1" applyAlignment="1">
      <alignment vertical="center" wrapText="1"/>
    </xf>
    <xf numFmtId="0" fontId="7" fillId="4" borderId="3" xfId="4" applyFont="1" applyFill="1" applyBorder="1" applyAlignment="1">
      <alignment horizontal="right" vertical="center" wrapText="1"/>
    </xf>
    <xf numFmtId="1" fontId="7" fillId="4" borderId="3" xfId="4" applyNumberFormat="1" applyFont="1" applyFill="1" applyBorder="1" applyAlignment="1">
      <alignment horizontal="right" vertical="center" wrapText="1"/>
    </xf>
    <xf numFmtId="0" fontId="7" fillId="4" borderId="9" xfId="4" applyFont="1" applyFill="1" applyBorder="1" applyAlignment="1">
      <alignment vertical="center" wrapText="1"/>
    </xf>
    <xf numFmtId="3" fontId="7" fillId="4" borderId="9" xfId="4" applyNumberFormat="1" applyFont="1" applyFill="1" applyBorder="1" applyAlignment="1">
      <alignment vertical="center" wrapText="1"/>
    </xf>
    <xf numFmtId="0" fontId="7" fillId="10" borderId="0" xfId="4" applyFont="1" applyFill="1" applyBorder="1" applyAlignment="1">
      <alignment horizontal="right" vertical="center" wrapText="1"/>
    </xf>
    <xf numFmtId="3" fontId="7" fillId="10" borderId="0" xfId="4" applyNumberFormat="1" applyFont="1" applyFill="1" applyBorder="1" applyAlignment="1">
      <alignment vertical="center" wrapText="1"/>
    </xf>
    <xf numFmtId="0" fontId="7" fillId="10" borderId="0" xfId="4" applyFont="1" applyFill="1" applyBorder="1" applyAlignment="1">
      <alignment horizontal="left" vertical="center" wrapText="1"/>
    </xf>
    <xf numFmtId="1" fontId="7" fillId="10" borderId="0" xfId="4" applyNumberFormat="1" applyFont="1" applyFill="1" applyBorder="1" applyAlignment="1">
      <alignment horizontal="right" vertical="center" wrapText="1"/>
    </xf>
    <xf numFmtId="1" fontId="7" fillId="10" borderId="0" xfId="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horizontal="left" vertical="center" wrapText="1"/>
    </xf>
    <xf numFmtId="3" fontId="9" fillId="7" borderId="0" xfId="7" applyNumberFormat="1" applyFont="1" applyFill="1" applyBorder="1" applyAlignment="1">
      <alignment horizontal="left" vertical="center" wrapText="1"/>
    </xf>
    <xf numFmtId="1" fontId="9" fillId="7" borderId="0" xfId="11" applyNumberFormat="1" applyFont="1" applyFill="1" applyBorder="1" applyAlignment="1">
      <alignment horizontal="left" vertical="center" wrapText="1"/>
    </xf>
    <xf numFmtId="1" fontId="9" fillId="7" borderId="0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/>
    <xf numFmtId="1" fontId="7" fillId="5" borderId="3" xfId="0" applyNumberFormat="1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right" vertical="center" wrapText="1"/>
    </xf>
    <xf numFmtId="0" fontId="1" fillId="5" borderId="0" xfId="0" applyFont="1" applyFill="1"/>
    <xf numFmtId="3" fontId="7" fillId="7" borderId="6" xfId="0" applyNumberFormat="1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0" fillId="6" borderId="9" xfId="0" applyFill="1" applyBorder="1" applyAlignment="1">
      <alignment horizontal="left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166" fontId="7" fillId="7" borderId="6" xfId="0" applyNumberFormat="1" applyFont="1" applyFill="1" applyBorder="1" applyAlignment="1">
      <alignment vertical="center" wrapText="1"/>
    </xf>
    <xf numFmtId="3" fontId="7" fillId="7" borderId="6" xfId="0" applyNumberFormat="1" applyFont="1" applyFill="1" applyBorder="1" applyAlignment="1">
      <alignment horizontal="left" vertical="center" wrapText="1"/>
    </xf>
    <xf numFmtId="1" fontId="9" fillId="4" borderId="0" xfId="0" applyNumberFormat="1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vertical="center" wrapText="1"/>
    </xf>
    <xf numFmtId="1" fontId="8" fillId="5" borderId="9" xfId="0" applyNumberFormat="1" applyFont="1" applyFill="1" applyBorder="1" applyAlignment="1">
      <alignment vertical="center" wrapText="1"/>
    </xf>
    <xf numFmtId="38" fontId="7" fillId="4" borderId="9" xfId="0" applyNumberFormat="1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/>
    </xf>
    <xf numFmtId="3" fontId="7" fillId="4" borderId="7" xfId="0" applyNumberFormat="1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left" vertical="center" wrapText="1"/>
    </xf>
    <xf numFmtId="3" fontId="7" fillId="7" borderId="5" xfId="0" applyNumberFormat="1" applyFont="1" applyFill="1" applyBorder="1" applyAlignment="1">
      <alignment horizontal="center" vertical="center" wrapText="1"/>
    </xf>
    <xf numFmtId="38" fontId="7" fillId="6" borderId="0" xfId="0" applyNumberFormat="1" applyFont="1" applyFill="1" applyAlignment="1">
      <alignment horizontal="center"/>
    </xf>
    <xf numFmtId="3" fontId="7" fillId="5" borderId="0" xfId="0" applyNumberFormat="1" applyFont="1" applyFill="1" applyAlignment="1">
      <alignment horizontal="center"/>
    </xf>
    <xf numFmtId="38" fontId="7" fillId="5" borderId="0" xfId="0" applyNumberFormat="1" applyFont="1" applyFill="1" applyAlignment="1">
      <alignment horizontal="center"/>
    </xf>
    <xf numFmtId="3" fontId="7" fillId="7" borderId="9" xfId="0" applyNumberFormat="1" applyFont="1" applyFill="1" applyBorder="1" applyAlignment="1">
      <alignment horizontal="center" vertical="center" wrapText="1"/>
    </xf>
    <xf numFmtId="3" fontId="7" fillId="6" borderId="9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8" fontId="7" fillId="0" borderId="0" xfId="0" applyNumberFormat="1" applyFont="1" applyBorder="1" applyAlignment="1">
      <alignment horizontal="center"/>
    </xf>
    <xf numFmtId="3" fontId="7" fillId="4" borderId="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7" fillId="7" borderId="0" xfId="0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0" borderId="5" xfId="0" applyFont="1" applyBorder="1" applyAlignment="1"/>
    <xf numFmtId="3" fontId="7" fillId="5" borderId="9" xfId="0" applyNumberFormat="1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 vertical="center" wrapText="1"/>
    </xf>
    <xf numFmtId="3" fontId="7" fillId="7" borderId="8" xfId="0" applyNumberFormat="1" applyFont="1" applyFill="1" applyBorder="1" applyAlignment="1">
      <alignment horizontal="left" vertical="center" wrapText="1"/>
    </xf>
    <xf numFmtId="3" fontId="7" fillId="6" borderId="8" xfId="0" applyNumberFormat="1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3" fontId="7" fillId="10" borderId="0" xfId="8" applyNumberFormat="1" applyFont="1" applyFill="1" applyBorder="1" applyAlignment="1">
      <alignment horizontal="left" vertical="center" wrapText="1"/>
    </xf>
    <xf numFmtId="3" fontId="7" fillId="4" borderId="0" xfId="8" applyNumberFormat="1" applyFont="1" applyFill="1" applyBorder="1" applyAlignment="1">
      <alignment horizontal="left" vertical="center" wrapText="1"/>
    </xf>
    <xf numFmtId="3" fontId="7" fillId="4" borderId="9" xfId="7" applyNumberFormat="1" applyFont="1" applyFill="1" applyBorder="1" applyAlignment="1">
      <alignment horizontal="left" vertical="center" wrapText="1"/>
    </xf>
    <xf numFmtId="2" fontId="7" fillId="7" borderId="0" xfId="8" applyNumberFormat="1" applyFont="1" applyFill="1" applyBorder="1" applyAlignment="1">
      <alignment horizontal="left" vertical="center" wrapText="1"/>
    </xf>
    <xf numFmtId="3" fontId="7" fillId="7" borderId="0" xfId="8" applyNumberFormat="1" applyFont="1" applyFill="1" applyBorder="1" applyAlignment="1">
      <alignment horizontal="left" vertical="center" wrapText="1"/>
    </xf>
    <xf numFmtId="3" fontId="7" fillId="3" borderId="0" xfId="8" applyNumberFormat="1" applyFont="1" applyFill="1" applyBorder="1" applyAlignment="1">
      <alignment horizontal="left" vertical="center" wrapText="1"/>
    </xf>
    <xf numFmtId="3" fontId="7" fillId="8" borderId="0" xfId="8" applyNumberFormat="1" applyFont="1" applyFill="1" applyBorder="1" applyAlignment="1">
      <alignment horizontal="left" vertical="center" wrapText="1"/>
    </xf>
    <xf numFmtId="3" fontId="7" fillId="4" borderId="7" xfId="5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left" vertical="center" wrapText="1"/>
    </xf>
    <xf numFmtId="3" fontId="7" fillId="5" borderId="0" xfId="7" applyNumberFormat="1" applyFont="1" applyFill="1" applyBorder="1" applyAlignment="1">
      <alignment horizontal="left" vertical="center" wrapText="1"/>
    </xf>
    <xf numFmtId="3" fontId="7" fillId="7" borderId="3" xfId="8" applyNumberFormat="1" applyFont="1" applyFill="1" applyBorder="1" applyAlignment="1">
      <alignment horizontal="left" vertical="center" wrapText="1"/>
    </xf>
    <xf numFmtId="3" fontId="7" fillId="4" borderId="9" xfId="8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21" fillId="5" borderId="0" xfId="0" applyFont="1" applyFill="1"/>
    <xf numFmtId="0" fontId="6" fillId="5" borderId="0" xfId="0" applyFont="1" applyFill="1"/>
    <xf numFmtId="3" fontId="7" fillId="6" borderId="8" xfId="0" applyNumberFormat="1" applyFont="1" applyFill="1" applyBorder="1" applyAlignment="1">
      <alignment horizontal="right"/>
    </xf>
    <xf numFmtId="3" fontId="7" fillId="4" borderId="9" xfId="5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4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0" xfId="6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7" borderId="0" xfId="9" applyFont="1" applyFill="1" applyBorder="1" applyAlignment="1">
      <alignment horizontal="center"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7" borderId="0" xfId="10" applyFont="1" applyFill="1" applyBorder="1" applyAlignment="1">
      <alignment horizontal="center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3" xfId="10" applyNumberFormat="1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3" borderId="3" xfId="4" applyFont="1" applyFill="1" applyBorder="1" applyAlignment="1">
      <alignment horizontal="right" vertical="center" wrapText="1"/>
    </xf>
    <xf numFmtId="0" fontId="7" fillId="7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4" borderId="0" xfId="0" applyFont="1" applyFill="1" applyBorder="1" applyAlignment="1">
      <alignment horizontal="left" vertical="center" wrapText="1"/>
    </xf>
    <xf numFmtId="0" fontId="7" fillId="7" borderId="0" xfId="11" applyFont="1" applyFill="1" applyBorder="1" applyAlignment="1">
      <alignment horizontal="center" vertical="center" wrapText="1"/>
    </xf>
    <xf numFmtId="1" fontId="7" fillId="3" borderId="0" xfId="11" applyNumberFormat="1" applyFont="1" applyFill="1" applyBorder="1" applyAlignment="1">
      <alignment horizontal="left" vertical="center" wrapText="1"/>
    </xf>
    <xf numFmtId="1" fontId="7" fillId="2" borderId="3" xfId="11" applyNumberFormat="1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7" borderId="0" xfId="2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/>
    </xf>
    <xf numFmtId="0" fontId="7" fillId="7" borderId="1" xfId="2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7" fillId="4" borderId="0" xfId="2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7" borderId="0" xfId="6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7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1" fontId="7" fillId="2" borderId="3" xfId="3" applyNumberFormat="1" applyFont="1" applyFill="1" applyBorder="1" applyAlignment="1">
      <alignment horizontal="righ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1" fontId="7" fillId="3" borderId="0" xfId="7" applyNumberFormat="1" applyFont="1" applyFill="1" applyBorder="1" applyAlignment="1">
      <alignment horizontal="right" vertical="center" wrapText="1"/>
    </xf>
    <xf numFmtId="1" fontId="7" fillId="3" borderId="1" xfId="7" applyNumberFormat="1" applyFont="1" applyFill="1" applyBorder="1" applyAlignment="1">
      <alignment horizontal="right" vertical="center" wrapText="1"/>
    </xf>
    <xf numFmtId="0" fontId="7" fillId="7" borderId="0" xfId="7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3" borderId="3" xfId="7" applyFont="1" applyFill="1" applyBorder="1" applyAlignment="1">
      <alignment horizontal="right" vertical="center" wrapText="1"/>
    </xf>
    <xf numFmtId="0" fontId="7" fillId="7" borderId="0" xfId="5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1" fontId="7" fillId="3" borderId="3" xfId="5" applyNumberFormat="1" applyFont="1" applyFill="1" applyBorder="1" applyAlignment="1">
      <alignment horizontal="right" vertical="center" wrapText="1"/>
    </xf>
    <xf numFmtId="0" fontId="7" fillId="7" borderId="1" xfId="5" applyFont="1" applyFill="1" applyBorder="1" applyAlignment="1">
      <alignment horizontal="center" vertical="center" wrapText="1"/>
    </xf>
    <xf numFmtId="1" fontId="7" fillId="3" borderId="3" xfId="8" applyNumberFormat="1" applyFont="1" applyFill="1" applyBorder="1" applyAlignment="1">
      <alignment horizontal="right" vertical="center" wrapText="1"/>
    </xf>
    <xf numFmtId="0" fontId="7" fillId="7" borderId="0" xfId="8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1" fontId="7" fillId="2" borderId="3" xfId="8" applyNumberFormat="1" applyFont="1" applyFill="1" applyBorder="1" applyAlignment="1">
      <alignment horizontal="right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right" vertical="center" wrapText="1"/>
    </xf>
  </cellXfs>
  <cellStyles count="17">
    <cellStyle name="Comma" xfId="1" builtinId="3"/>
    <cellStyle name="Normal" xfId="0" builtinId="0"/>
    <cellStyle name="Normal 4" xfId="12"/>
    <cellStyle name="Normal 5" xfId="13"/>
    <cellStyle name="Normal 6" xfId="14"/>
    <cellStyle name="Normal 7" xfId="15"/>
    <cellStyle name="Normal 8" xfId="16"/>
    <cellStyle name="Normal_Sheet1" xfId="2"/>
    <cellStyle name="Normal_Sheet3" xfId="3"/>
    <cellStyle name="Normal_Sheet6" xfId="4"/>
    <cellStyle name="Normal_Sheet8" xfId="5"/>
    <cellStyle name="Normal_ت.صحيه2" xfId="6"/>
    <cellStyle name="Normal_ت.صحيه4" xfId="7"/>
    <cellStyle name="Normal_ت.صحيه5" xfId="8"/>
    <cellStyle name="Normal_حصى" xfId="9"/>
    <cellStyle name="Normal_رمل" xfId="10"/>
    <cellStyle name="Normal_شبابيك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87306980590339E-2"/>
          <c:y val="0.1520354941104311"/>
          <c:w val="0.87040198716706341"/>
          <c:h val="0.7972022504115468"/>
        </c:manualLayout>
      </c:layout>
      <c:lineChart>
        <c:grouping val="standard"/>
        <c:varyColors val="0"/>
        <c:ser>
          <c:idx val="0"/>
          <c:order val="0"/>
          <c:tx>
            <c:strRef>
              <c:f>'[1]الكلفه  للسنوات'!$D$6:$D$7</c:f>
              <c:strCache>
                <c:ptCount val="1"/>
                <c:pt idx="0">
                  <c:v> الاجور المدفوعه    (مليون)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'[1]الكلفه  للسنوات'!$A$10:$A$20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'[1]الكلفه  للسنوات'!$D$10:$D$20</c:f>
              <c:numCache>
                <c:formatCode>General</c:formatCode>
                <c:ptCount val="11"/>
                <c:pt idx="0">
                  <c:v>132192</c:v>
                </c:pt>
                <c:pt idx="1">
                  <c:v>332783</c:v>
                </c:pt>
                <c:pt idx="2">
                  <c:v>481335</c:v>
                </c:pt>
                <c:pt idx="3">
                  <c:v>566675</c:v>
                </c:pt>
                <c:pt idx="4">
                  <c:v>661140</c:v>
                </c:pt>
                <c:pt idx="5">
                  <c:v>555092</c:v>
                </c:pt>
                <c:pt idx="6">
                  <c:v>446471</c:v>
                </c:pt>
                <c:pt idx="7">
                  <c:v>700793</c:v>
                </c:pt>
                <c:pt idx="8">
                  <c:v>659555</c:v>
                </c:pt>
                <c:pt idx="9">
                  <c:v>659555</c:v>
                </c:pt>
                <c:pt idx="10">
                  <c:v>496515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'[1]الكلفه  للسنوات'!$B$6:$B$7</c:f>
              <c:strCache>
                <c:ptCount val="1"/>
                <c:pt idx="0">
                  <c:v>الكلفة الكلية (مليون 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'[1]الكلفه  للسنوات'!$A$10:$A$20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'[1]الكلفه  للسنوات'!$B$10:$B$20</c:f>
              <c:numCache>
                <c:formatCode>General</c:formatCode>
                <c:ptCount val="11"/>
                <c:pt idx="0">
                  <c:v>544337</c:v>
                </c:pt>
                <c:pt idx="1">
                  <c:v>1392693</c:v>
                </c:pt>
                <c:pt idx="2">
                  <c:v>1968163</c:v>
                </c:pt>
                <c:pt idx="3">
                  <c:v>2150495</c:v>
                </c:pt>
                <c:pt idx="4">
                  <c:v>4421670</c:v>
                </c:pt>
                <c:pt idx="5">
                  <c:v>7158371</c:v>
                </c:pt>
                <c:pt idx="6">
                  <c:v>3320102</c:v>
                </c:pt>
                <c:pt idx="7">
                  <c:v>1932360</c:v>
                </c:pt>
                <c:pt idx="8">
                  <c:v>1962888</c:v>
                </c:pt>
                <c:pt idx="9">
                  <c:v>1479021</c:v>
                </c:pt>
                <c:pt idx="10">
                  <c:v>1398142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'[1]الكلفه  للسنوات'!$C$6:$C$7</c:f>
              <c:strCache>
                <c:ptCount val="1"/>
                <c:pt idx="0">
                  <c:v>     قيمه المواد الانشائيه(مليون)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'[1]الكلفه  للسنوات'!$A$10:$A$20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'[1]الكلفه  للسنوات'!$C$10:$C$20</c:f>
              <c:numCache>
                <c:formatCode>General</c:formatCode>
                <c:ptCount val="11"/>
                <c:pt idx="0">
                  <c:v>422081</c:v>
                </c:pt>
                <c:pt idx="1">
                  <c:v>1059909</c:v>
                </c:pt>
                <c:pt idx="2">
                  <c:v>1486827</c:v>
                </c:pt>
                <c:pt idx="3">
                  <c:v>1583820</c:v>
                </c:pt>
                <c:pt idx="4">
                  <c:v>3622019</c:v>
                </c:pt>
                <c:pt idx="5">
                  <c:v>6603278</c:v>
                </c:pt>
                <c:pt idx="6">
                  <c:v>2873631</c:v>
                </c:pt>
                <c:pt idx="7">
                  <c:v>1231567</c:v>
                </c:pt>
                <c:pt idx="8">
                  <c:v>1297872</c:v>
                </c:pt>
                <c:pt idx="9">
                  <c:v>819485</c:v>
                </c:pt>
                <c:pt idx="10">
                  <c:v>901626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0000"/>
        <c:axId val="110081920"/>
      </c:lineChart>
      <c:catAx>
        <c:axId val="11008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81920"/>
        <c:crosses val="autoZero"/>
        <c:auto val="1"/>
        <c:lblAlgn val="ctr"/>
        <c:lblOffset val="100"/>
        <c:noMultiLvlLbl val="0"/>
      </c:catAx>
      <c:valAx>
        <c:axId val="11008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8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.67" l="0.42" r="0.28000000000000003" t="2.04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IQ" sz="1600" b="0" i="0" baseline="0">
                <a:effectLst/>
              </a:rPr>
              <a:t>شكل رقم (2) </a:t>
            </a:r>
            <a:br>
              <a:rPr lang="ar-IQ" sz="1600" b="0" i="0" baseline="0">
                <a:effectLst/>
              </a:rPr>
            </a:br>
            <a:r>
              <a:rPr lang="ar-IQ" sz="1600" b="0" i="0" baseline="0">
                <a:effectLst/>
              </a:rPr>
              <a:t>المؤشرات الرئيسة لتقديرات ابنية القطاع الخاص حسب انواع البناء لسنه </a:t>
            </a:r>
            <a:r>
              <a:rPr lang="en-US" sz="1600" b="0" i="0" baseline="0">
                <a:effectLst/>
              </a:rPr>
              <a:t>2018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39779886927337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27177226318594E-2"/>
          <c:y val="0.11754578754578757"/>
          <c:w val="0.77523362146968788"/>
          <c:h val="0.71603155374808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[1]Sheet2!$E$6</c:f>
              <c:strCache>
                <c:ptCount val="1"/>
                <c:pt idx="0">
                  <c:v>جديـــــــــــــــــــــــد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[1]Sheet2!$D$11:$D$16</c:f>
              <c:strCache>
                <c:ptCount val="6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</c:strCache>
            </c:strRef>
          </c:cat>
          <c:val>
            <c:numRef>
              <c:f>[1]Sheet2!$E$11:$E$16</c:f>
              <c:numCache>
                <c:formatCode>General</c:formatCode>
                <c:ptCount val="6"/>
                <c:pt idx="0">
                  <c:v>7324</c:v>
                </c:pt>
                <c:pt idx="1">
                  <c:v>6</c:v>
                </c:pt>
                <c:pt idx="2">
                  <c:v>175</c:v>
                </c:pt>
                <c:pt idx="3">
                  <c:v>16</c:v>
                </c:pt>
                <c:pt idx="4">
                  <c:v>30</c:v>
                </c:pt>
                <c:pt idx="5">
                  <c:v>18</c:v>
                </c:pt>
              </c:numCache>
            </c:numRef>
          </c:val>
        </c:ser>
        <c:ser>
          <c:idx val="1"/>
          <c:order val="1"/>
          <c:tx>
            <c:strRef>
              <c:f>[1]Sheet2!$H$6</c:f>
              <c:strCache>
                <c:ptCount val="1"/>
                <c:pt idx="0">
                  <c:v>إضافــــــــــــــــــــــــة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[1]Sheet2!$D$11:$D$16</c:f>
              <c:strCache>
                <c:ptCount val="6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</c:strCache>
            </c:strRef>
          </c:cat>
          <c:val>
            <c:numRef>
              <c:f>[1]Sheet2!$H$11:$H$16</c:f>
              <c:numCache>
                <c:formatCode>General</c:formatCode>
                <c:ptCount val="6"/>
                <c:pt idx="0">
                  <c:v>2291</c:v>
                </c:pt>
                <c:pt idx="1">
                  <c:v>1</c:v>
                </c:pt>
                <c:pt idx="2">
                  <c:v>12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956992"/>
        <c:axId val="134116864"/>
      </c:barChart>
      <c:catAx>
        <c:axId val="11995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16864"/>
        <c:crosses val="autoZero"/>
        <c:auto val="1"/>
        <c:lblAlgn val="ctr"/>
        <c:lblOffset val="100"/>
        <c:noMultiLvlLbl val="0"/>
      </c:catAx>
      <c:valAx>
        <c:axId val="134116864"/>
        <c:scaling>
          <c:logBase val="5"/>
          <c:orientation val="minMax"/>
          <c:max val="1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569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808668476342654"/>
          <c:y val="0.31547575783796256"/>
          <c:w val="0.11468237619441826"/>
          <c:h val="0.23031178794958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miter lim="800000"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1.42" r="0.57999999999999996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العاملين!$F$4</c:f>
              <c:strCache>
                <c:ptCount val="1"/>
                <c:pt idx="0">
                  <c:v>عمال ماهرين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العاملين!$A$9:$A$23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 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العاملين!$F$9:$F$23</c:f>
              <c:numCache>
                <c:formatCode>#,##0</c:formatCode>
                <c:ptCount val="15"/>
                <c:pt idx="0">
                  <c:v>10</c:v>
                </c:pt>
                <c:pt idx="1">
                  <c:v>245</c:v>
                </c:pt>
                <c:pt idx="2">
                  <c:v>364</c:v>
                </c:pt>
                <c:pt idx="3">
                  <c:v>55</c:v>
                </c:pt>
                <c:pt idx="4">
                  <c:v>2061</c:v>
                </c:pt>
                <c:pt idx="5">
                  <c:v>152</c:v>
                </c:pt>
                <c:pt idx="6">
                  <c:v>154</c:v>
                </c:pt>
                <c:pt idx="7">
                  <c:v>127</c:v>
                </c:pt>
                <c:pt idx="8">
                  <c:v>83</c:v>
                </c:pt>
                <c:pt idx="9">
                  <c:v>226</c:v>
                </c:pt>
                <c:pt idx="10">
                  <c:v>62</c:v>
                </c:pt>
                <c:pt idx="11">
                  <c:v>88</c:v>
                </c:pt>
                <c:pt idx="12">
                  <c:v>137</c:v>
                </c:pt>
                <c:pt idx="13">
                  <c:v>50</c:v>
                </c:pt>
                <c:pt idx="14">
                  <c:v>258</c:v>
                </c:pt>
              </c:numCache>
            </c:numRef>
          </c:val>
        </c:ser>
        <c:ser>
          <c:idx val="0"/>
          <c:order val="1"/>
          <c:tx>
            <c:strRef>
              <c:f>العاملين!$D$4</c:f>
              <c:strCache>
                <c:ptCount val="1"/>
                <c:pt idx="0">
                  <c:v>عمال شبه ماهرين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العاملين!$D$9:$D$23</c:f>
              <c:numCache>
                <c:formatCode>#,##0</c:formatCode>
                <c:ptCount val="15"/>
                <c:pt idx="0">
                  <c:v>2</c:v>
                </c:pt>
                <c:pt idx="1">
                  <c:v>109</c:v>
                </c:pt>
                <c:pt idx="2">
                  <c:v>258</c:v>
                </c:pt>
                <c:pt idx="3">
                  <c:v>32</c:v>
                </c:pt>
                <c:pt idx="4">
                  <c:v>1642</c:v>
                </c:pt>
                <c:pt idx="5">
                  <c:v>82</c:v>
                </c:pt>
                <c:pt idx="6">
                  <c:v>41</c:v>
                </c:pt>
                <c:pt idx="7">
                  <c:v>56</c:v>
                </c:pt>
                <c:pt idx="8">
                  <c:v>79</c:v>
                </c:pt>
                <c:pt idx="9">
                  <c:v>94</c:v>
                </c:pt>
                <c:pt idx="10">
                  <c:v>27</c:v>
                </c:pt>
                <c:pt idx="11">
                  <c:v>32</c:v>
                </c:pt>
                <c:pt idx="12">
                  <c:v>21</c:v>
                </c:pt>
                <c:pt idx="13">
                  <c:v>5</c:v>
                </c:pt>
                <c:pt idx="14">
                  <c:v>49</c:v>
                </c:pt>
              </c:numCache>
            </c:numRef>
          </c:val>
        </c:ser>
        <c:ser>
          <c:idx val="2"/>
          <c:order val="2"/>
          <c:tx>
            <c:strRef>
              <c:f>العاملين!$B$4</c:f>
              <c:strCache>
                <c:ptCount val="1"/>
                <c:pt idx="0">
                  <c:v>عمال غير ماهرين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val>
            <c:numRef>
              <c:f>العاملين!$B$9:$B$23</c:f>
              <c:numCache>
                <c:formatCode>#,##0</c:formatCode>
                <c:ptCount val="15"/>
                <c:pt idx="0">
                  <c:v>64</c:v>
                </c:pt>
                <c:pt idx="1">
                  <c:v>1680</c:v>
                </c:pt>
                <c:pt idx="2">
                  <c:v>2796</c:v>
                </c:pt>
                <c:pt idx="3">
                  <c:v>385</c:v>
                </c:pt>
                <c:pt idx="4">
                  <c:v>14476</c:v>
                </c:pt>
                <c:pt idx="5">
                  <c:v>1298</c:v>
                </c:pt>
                <c:pt idx="6">
                  <c:v>1186</c:v>
                </c:pt>
                <c:pt idx="7">
                  <c:v>911</c:v>
                </c:pt>
                <c:pt idx="8">
                  <c:v>594</c:v>
                </c:pt>
                <c:pt idx="9">
                  <c:v>1715</c:v>
                </c:pt>
                <c:pt idx="10">
                  <c:v>499</c:v>
                </c:pt>
                <c:pt idx="11">
                  <c:v>756</c:v>
                </c:pt>
                <c:pt idx="12">
                  <c:v>972</c:v>
                </c:pt>
                <c:pt idx="13">
                  <c:v>357</c:v>
                </c:pt>
                <c:pt idx="14">
                  <c:v>2089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6838656"/>
        <c:axId val="106840448"/>
      </c:barChart>
      <c:catAx>
        <c:axId val="10683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40448"/>
        <c:crosses val="autoZero"/>
        <c:auto val="0"/>
        <c:lblAlgn val="ctr"/>
        <c:lblOffset val="100"/>
        <c:noMultiLvlLbl val="0"/>
      </c:catAx>
      <c:valAx>
        <c:axId val="1068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38656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>
      <c:oddFooter>&amp;C24</c:oddFooter>
    </c:headerFooter>
    <c:pageMargins b="0.98425196850393659" l="1.95" r="2.0699999999999998" t="1.02" header="1.04" footer="1.57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1"/>
              <a:t>شكل رقم (4)</a:t>
            </a:r>
            <a:r>
              <a:rPr lang="ar-IQ" sz="1400" b="0"/>
              <a:t>
</a:t>
            </a:r>
            <a:r>
              <a:rPr lang="ar-IQ" sz="1400" b="1"/>
              <a:t> </a:t>
            </a:r>
            <a:r>
              <a:rPr lang="ar-IQ" sz="1200" b="1"/>
              <a:t>كمية المواد الانشائية المستخدمة في</a:t>
            </a:r>
            <a:r>
              <a:rPr lang="ar-IQ" sz="1200" b="1" baseline="0"/>
              <a:t> البناء </a:t>
            </a:r>
            <a:r>
              <a:rPr lang="ar-IQ" sz="1200" b="1"/>
              <a:t>حسب المحافظات لسنه</a:t>
            </a:r>
            <a:r>
              <a:rPr lang="en-US" sz="1200" b="1"/>
              <a:t>2018 </a:t>
            </a:r>
            <a:r>
              <a:rPr lang="ar-IQ" sz="1200" b="1" baseline="0"/>
              <a:t> مادة </a:t>
            </a:r>
            <a:r>
              <a:rPr lang="ar-IQ" sz="1200" b="0"/>
              <a:t>(</a:t>
            </a:r>
            <a:r>
              <a:rPr lang="ar-IQ" sz="1200" b="1"/>
              <a:t>الطابوق</a:t>
            </a:r>
            <a:r>
              <a:rPr lang="ar-IQ" sz="1200" b="0"/>
              <a:t> </a:t>
            </a:r>
            <a:r>
              <a:rPr lang="ar-IQ" sz="1200" b="1"/>
              <a:t>والبلوك</a:t>
            </a:r>
            <a:r>
              <a:rPr lang="ar-IQ" sz="1200" b="0"/>
              <a:t>)</a:t>
            </a:r>
          </a:p>
        </c:rich>
      </c:tx>
      <c:layout>
        <c:manualLayout>
          <c:xMode val="edge"/>
          <c:yMode val="edge"/>
          <c:x val="0.18963308543461871"/>
          <c:y val="1.010152012329950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553785485181"/>
          <c:y val="0.13855810874838931"/>
          <c:w val="0.86131697626194514"/>
          <c:h val="0.698898654136391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طابوق!$C$4</c:f>
              <c:strCache>
                <c:ptCount val="1"/>
                <c:pt idx="0">
                  <c:v> طابوق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طابوق!$J$9:$J$23</c:f>
              <c:numCache>
                <c:formatCode>#,##0</c:formatCode>
                <c:ptCount val="15"/>
                <c:pt idx="0">
                  <c:v>0</c:v>
                </c:pt>
                <c:pt idx="1">
                  <c:v>16891</c:v>
                </c:pt>
                <c:pt idx="2">
                  <c:v>64162</c:v>
                </c:pt>
                <c:pt idx="3">
                  <c:v>8007</c:v>
                </c:pt>
                <c:pt idx="4">
                  <c:v>343997</c:v>
                </c:pt>
                <c:pt idx="5">
                  <c:v>52794</c:v>
                </c:pt>
                <c:pt idx="6">
                  <c:v>34071</c:v>
                </c:pt>
                <c:pt idx="7">
                  <c:v>44291</c:v>
                </c:pt>
                <c:pt idx="8">
                  <c:v>123687</c:v>
                </c:pt>
                <c:pt idx="9">
                  <c:v>37372</c:v>
                </c:pt>
                <c:pt idx="10">
                  <c:v>17462</c:v>
                </c:pt>
                <c:pt idx="11">
                  <c:v>20933</c:v>
                </c:pt>
                <c:pt idx="12">
                  <c:v>77942</c:v>
                </c:pt>
                <c:pt idx="13">
                  <c:v>15331</c:v>
                </c:pt>
                <c:pt idx="14">
                  <c:v>54420</c:v>
                </c:pt>
              </c:numCache>
            </c:numRef>
          </c:val>
        </c:ser>
        <c:ser>
          <c:idx val="0"/>
          <c:order val="1"/>
          <c:tx>
            <c:strRef>
              <c:f>بلوك!$C$4</c:f>
              <c:strCache>
                <c:ptCount val="1"/>
                <c:pt idx="0">
                  <c:v> بلوك        </c:v>
                </c:pt>
              </c:strCache>
            </c:strRef>
          </c:tx>
          <c:spPr>
            <a:solidFill>
              <a:srgbClr val="FF0000"/>
            </a:solidFill>
            <a:ln w="38100">
              <a:noFill/>
              <a:prstDash val="solid"/>
            </a:ln>
          </c:spPr>
          <c:invertIfNegative val="0"/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بلوك!$H$9:$H$23</c:f>
              <c:numCache>
                <c:formatCode>#,##0</c:formatCode>
                <c:ptCount val="15"/>
                <c:pt idx="0">
                  <c:v>388</c:v>
                </c:pt>
                <c:pt idx="1">
                  <c:v>5382</c:v>
                </c:pt>
                <c:pt idx="2">
                  <c:v>4856</c:v>
                </c:pt>
                <c:pt idx="3">
                  <c:v>488</c:v>
                </c:pt>
                <c:pt idx="4">
                  <c:v>4273</c:v>
                </c:pt>
                <c:pt idx="5">
                  <c:v>3444</c:v>
                </c:pt>
                <c:pt idx="6">
                  <c:v>6077</c:v>
                </c:pt>
                <c:pt idx="7">
                  <c:v>1748</c:v>
                </c:pt>
                <c:pt idx="8">
                  <c:v>35818</c:v>
                </c:pt>
                <c:pt idx="9">
                  <c:v>7959</c:v>
                </c:pt>
                <c:pt idx="10">
                  <c:v>189</c:v>
                </c:pt>
                <c:pt idx="11">
                  <c:v>772</c:v>
                </c:pt>
                <c:pt idx="12">
                  <c:v>8933</c:v>
                </c:pt>
                <c:pt idx="13">
                  <c:v>502</c:v>
                </c:pt>
                <c:pt idx="14">
                  <c:v>17386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88192"/>
        <c:axId val="106964096"/>
      </c:barChart>
      <c:catAx>
        <c:axId val="10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sz="1100" b="0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39969999679483764"/>
              <c:y val="0.937647894151327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ctr" anchorCtr="0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640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sz="1100" b="0"/>
                  <a:t>العدد</a:t>
                </a:r>
              </a:p>
            </c:rich>
          </c:tx>
          <c:layout>
            <c:manualLayout>
              <c:xMode val="edge"/>
              <c:yMode val="edge"/>
              <c:x val="4.2249756596661345E-2"/>
              <c:y val="4.6552396804570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88192"/>
        <c:crosses val="autoZero"/>
        <c:crossBetween val="between"/>
      </c:valAx>
      <c:spPr>
        <a:solidFill>
          <a:srgbClr val="FFFFFF"/>
        </a:solidFill>
        <a:ln w="381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12710082510401"/>
          <c:y val="0.24517012389821849"/>
          <c:w val="8.2968977588791903E-2"/>
          <c:h val="0.1625686686812852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&amp;C27</c:oddFooter>
    </c:headerFooter>
    <c:pageMargins b="0.98425196850393659" l="0.84" r="1.79" t="0.98425196850393659" header="0.51181102362204722" footer="0.51181102362204722"/>
    <c:pageSetup orientation="landscape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(5)
كمية المواد المستخدمة في البناء حسب المحافظات لسنة 2018 مادة ( الحجر والحصى  )</a:t>
            </a:r>
          </a:p>
        </c:rich>
      </c:tx>
      <c:layout>
        <c:manualLayout>
          <c:xMode val="edge"/>
          <c:yMode val="edge"/>
          <c:x val="0.25255914510834054"/>
          <c:y val="4.1741408829920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62428148644094"/>
          <c:y val="0.17307691960191718"/>
          <c:w val="0.78228876255088564"/>
          <c:h val="0.63811188811190001"/>
        </c:manualLayout>
      </c:layout>
      <c:barChart>
        <c:barDir val="col"/>
        <c:grouping val="clustered"/>
        <c:varyColors val="0"/>
        <c:ser>
          <c:idx val="0"/>
          <c:order val="0"/>
          <c:tx>
            <c:v>حجر</c:v>
          </c:tx>
          <c:invertIfNegative val="0"/>
          <c:cat>
            <c:strRef>
              <c:f>حصى!$A$11:$A$25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حجر!$F$11:$F$16</c:f>
              <c:numCache>
                <c:formatCode>#,##0</c:formatCode>
                <c:ptCount val="6"/>
                <c:pt idx="0">
                  <c:v>86255</c:v>
                </c:pt>
                <c:pt idx="1">
                  <c:v>127245</c:v>
                </c:pt>
                <c:pt idx="2">
                  <c:v>18405</c:v>
                </c:pt>
                <c:pt idx="3">
                  <c:v>162572</c:v>
                </c:pt>
                <c:pt idx="4">
                  <c:v>2229</c:v>
                </c:pt>
                <c:pt idx="5">
                  <c:v>10182</c:v>
                </c:pt>
              </c:numCache>
            </c:numRef>
          </c:val>
        </c:ser>
        <c:ser>
          <c:idx val="1"/>
          <c:order val="1"/>
          <c:tx>
            <c:strRef>
              <c:f>حصى!$C$6</c:f>
              <c:strCache>
                <c:ptCount val="1"/>
                <c:pt idx="0">
                  <c:v>حصى</c:v>
                </c:pt>
              </c:strCache>
            </c:strRef>
          </c:tx>
          <c:invertIfNegative val="0"/>
          <c:cat>
            <c:strRef>
              <c:f>حصى!$A$11:$A$25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حصى!$F$11:$F$25</c:f>
              <c:numCache>
                <c:formatCode>#,##0</c:formatCode>
                <c:ptCount val="15"/>
                <c:pt idx="0">
                  <c:v>8747</c:v>
                </c:pt>
                <c:pt idx="1">
                  <c:v>71433</c:v>
                </c:pt>
                <c:pt idx="2">
                  <c:v>122619</c:v>
                </c:pt>
                <c:pt idx="3">
                  <c:v>20238</c:v>
                </c:pt>
                <c:pt idx="4">
                  <c:v>487000</c:v>
                </c:pt>
                <c:pt idx="5">
                  <c:v>65144</c:v>
                </c:pt>
                <c:pt idx="6">
                  <c:v>63122</c:v>
                </c:pt>
                <c:pt idx="7">
                  <c:v>64503</c:v>
                </c:pt>
                <c:pt idx="8">
                  <c:v>47154</c:v>
                </c:pt>
                <c:pt idx="9">
                  <c:v>99808</c:v>
                </c:pt>
                <c:pt idx="10">
                  <c:v>31555</c:v>
                </c:pt>
                <c:pt idx="11">
                  <c:v>29106</c:v>
                </c:pt>
                <c:pt idx="12">
                  <c:v>35684</c:v>
                </c:pt>
                <c:pt idx="13">
                  <c:v>12111</c:v>
                </c:pt>
                <c:pt idx="14">
                  <c:v>60529</c:v>
                </c:pt>
              </c:numCache>
            </c:numRef>
          </c:val>
        </c:ser>
        <c:ser>
          <c:idx val="2"/>
          <c:order val="2"/>
          <c:tx>
            <c:strRef>
              <c:f>رمل!$C$5</c:f>
              <c:strCache>
                <c:ptCount val="1"/>
                <c:pt idx="0">
                  <c:v> رمل</c:v>
                </c:pt>
              </c:strCache>
            </c:strRef>
          </c:tx>
          <c:invertIfNegative val="0"/>
          <c:cat>
            <c:strRef>
              <c:f>حصى!$A$11:$A$25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رمل!$F$10:$F$24</c:f>
              <c:numCache>
                <c:formatCode>#,##0</c:formatCode>
                <c:ptCount val="15"/>
                <c:pt idx="0">
                  <c:v>10</c:v>
                </c:pt>
                <c:pt idx="1">
                  <c:v>77</c:v>
                </c:pt>
                <c:pt idx="2">
                  <c:v>145</c:v>
                </c:pt>
                <c:pt idx="3">
                  <c:v>24</c:v>
                </c:pt>
                <c:pt idx="4">
                  <c:v>1004</c:v>
                </c:pt>
                <c:pt idx="5">
                  <c:v>107</c:v>
                </c:pt>
                <c:pt idx="6">
                  <c:v>65</c:v>
                </c:pt>
                <c:pt idx="7">
                  <c:v>83</c:v>
                </c:pt>
                <c:pt idx="8">
                  <c:v>49</c:v>
                </c:pt>
                <c:pt idx="9">
                  <c:v>130</c:v>
                </c:pt>
                <c:pt idx="10">
                  <c:v>34</c:v>
                </c:pt>
                <c:pt idx="11">
                  <c:v>47</c:v>
                </c:pt>
                <c:pt idx="12">
                  <c:v>110</c:v>
                </c:pt>
                <c:pt idx="13">
                  <c:v>43</c:v>
                </c:pt>
                <c:pt idx="14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84768"/>
        <c:axId val="109586688"/>
      </c:barChart>
      <c:catAx>
        <c:axId val="10958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44157493228477357"/>
              <c:y val="0.91083916083916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340000" vert="horz"/>
          <a:lstStyle/>
          <a:p>
            <a:pPr>
              <a:defRPr lang="en-US"/>
            </a:pPr>
            <a:endParaRPr lang="en-US"/>
          </a:p>
        </c:txPr>
        <c:crossAx val="109586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866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7.1028136887253679E-2"/>
              <c:y val="0.127537943626611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0958476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3886942176508383"/>
          <c:y val="0.4277389277389278"/>
          <c:w val="5.7097906252179524E-2"/>
          <c:h val="0.13046835054710093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 alignWithMargins="0">
      <c:oddFooter>&amp;C31</c:oddFooter>
    </c:headerFooter>
    <c:pageMargins b="1" l="0.75000000000000844" r="1.49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(6)
كمية المواد الانشائية المستخدمة حسب المحافظات لسنة 2018</a:t>
            </a:r>
            <a:r>
              <a:rPr lang="en-US" sz="1400" b="0"/>
              <a:t> </a:t>
            </a:r>
            <a:r>
              <a:rPr lang="ar-IQ" sz="1400" b="0" baseline="0"/>
              <a:t> مادة (جص ، سمنت )</a:t>
            </a:r>
            <a:endParaRPr lang="ar-IQ" sz="1400" b="0"/>
          </a:p>
        </c:rich>
      </c:tx>
      <c:layout>
        <c:manualLayout>
          <c:xMode val="edge"/>
          <c:yMode val="edge"/>
          <c:x val="0.19939837127644824"/>
          <c:y val="3.2564939534842408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18536181686"/>
          <c:y val="0.12706291103114531"/>
          <c:w val="0.85490837513617701"/>
          <c:h val="0.65977110729179433"/>
        </c:manualLayout>
      </c:layout>
      <c:bar3DChart>
        <c:barDir val="col"/>
        <c:grouping val="clustered"/>
        <c:varyColors val="0"/>
        <c:ser>
          <c:idx val="0"/>
          <c:order val="0"/>
          <c:tx>
            <c:v>جص</c:v>
          </c:tx>
          <c:invertIfNegative val="0"/>
          <c:cat>
            <c:strRef>
              <c:f>جص!$A$10:$A$24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جص!$F$10:$F$24</c:f>
              <c:numCache>
                <c:formatCode>#,##0</c:formatCode>
                <c:ptCount val="15"/>
                <c:pt idx="0">
                  <c:v>1545</c:v>
                </c:pt>
                <c:pt idx="1">
                  <c:v>39691</c:v>
                </c:pt>
                <c:pt idx="2">
                  <c:v>47651</c:v>
                </c:pt>
                <c:pt idx="3">
                  <c:v>5936</c:v>
                </c:pt>
                <c:pt idx="4">
                  <c:v>188429</c:v>
                </c:pt>
                <c:pt idx="5">
                  <c:v>9801</c:v>
                </c:pt>
                <c:pt idx="6">
                  <c:v>17564</c:v>
                </c:pt>
                <c:pt idx="7">
                  <c:v>14749</c:v>
                </c:pt>
                <c:pt idx="8">
                  <c:v>14200</c:v>
                </c:pt>
                <c:pt idx="9">
                  <c:v>16196</c:v>
                </c:pt>
                <c:pt idx="10">
                  <c:v>3114</c:v>
                </c:pt>
                <c:pt idx="11">
                  <c:v>5330</c:v>
                </c:pt>
                <c:pt idx="12">
                  <c:v>8333</c:v>
                </c:pt>
                <c:pt idx="13">
                  <c:v>3859</c:v>
                </c:pt>
                <c:pt idx="14">
                  <c:v>29225</c:v>
                </c:pt>
              </c:numCache>
            </c:numRef>
          </c:val>
        </c:ser>
        <c:ser>
          <c:idx val="1"/>
          <c:order val="1"/>
          <c:tx>
            <c:v>سمنت</c:v>
          </c:tx>
          <c:invertIfNegative val="0"/>
          <c:val>
            <c:numRef>
              <c:f>سمنت!$H$9:$H$23</c:f>
              <c:numCache>
                <c:formatCode>#,##0</c:formatCode>
                <c:ptCount val="15"/>
                <c:pt idx="0">
                  <c:v>3345</c:v>
                </c:pt>
                <c:pt idx="1">
                  <c:v>33118</c:v>
                </c:pt>
                <c:pt idx="2">
                  <c:v>54586</c:v>
                </c:pt>
                <c:pt idx="3">
                  <c:v>9591</c:v>
                </c:pt>
                <c:pt idx="4">
                  <c:v>239212</c:v>
                </c:pt>
                <c:pt idx="5">
                  <c:v>34697</c:v>
                </c:pt>
                <c:pt idx="6">
                  <c:v>31196</c:v>
                </c:pt>
                <c:pt idx="7">
                  <c:v>43398</c:v>
                </c:pt>
                <c:pt idx="8">
                  <c:v>16583</c:v>
                </c:pt>
                <c:pt idx="9">
                  <c:v>47719</c:v>
                </c:pt>
                <c:pt idx="10">
                  <c:v>16569</c:v>
                </c:pt>
                <c:pt idx="11">
                  <c:v>21848</c:v>
                </c:pt>
                <c:pt idx="12">
                  <c:v>33020</c:v>
                </c:pt>
                <c:pt idx="13">
                  <c:v>12770</c:v>
                </c:pt>
                <c:pt idx="14">
                  <c:v>47106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814528"/>
        <c:axId val="109816448"/>
        <c:axId val="0"/>
      </c:bar3DChart>
      <c:catAx>
        <c:axId val="10981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43037604963350207"/>
              <c:y val="0.82405336388788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1560000" vert="horz"/>
          <a:lstStyle/>
          <a:p>
            <a:pPr>
              <a:defRPr lang="en-US"/>
            </a:pPr>
            <a:endParaRPr lang="en-US"/>
          </a:p>
        </c:txPr>
        <c:crossAx val="10981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816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3.1363032186072802E-2"/>
              <c:y val="0.1104918484174249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09814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5383984220658"/>
          <c:y val="0.45049577547406588"/>
          <c:w val="7.8989186079597845E-2"/>
          <c:h val="0.12047341798011379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Footer>&amp;C34</c:oddFooter>
    </c:headerFooter>
    <c:pageMargins b="1" l="0.42000000000000032" r="0.85000000000000064" t="1" header="0.5" footer="0.5"/>
    <c:pageSetup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(7)
كمية المواد الانشائية المستخدمة في البناء حسب المحافظات لسنة  2014 مادة الكاشي </a:t>
            </a:r>
          </a:p>
        </c:rich>
      </c:tx>
      <c:layout>
        <c:manualLayout>
          <c:xMode val="edge"/>
          <c:yMode val="edge"/>
          <c:x val="0.1872749099639856"/>
          <c:y val="2.7777777777780729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82557100575167"/>
          <c:y val="0.15686300091980721"/>
          <c:w val="0.69215344016957892"/>
          <c:h val="0.669610379974594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كاشي!$C$4</c:f>
              <c:strCache>
                <c:ptCount val="1"/>
                <c:pt idx="0">
                  <c:v> بلاط الارضية     (كاشي)</c:v>
                </c:pt>
              </c:strCache>
            </c:strRef>
          </c:tx>
          <c:invertIfNegative val="0"/>
          <c:cat>
            <c:strRef>
              <c:f>كاشي!$A$9:$A$23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كاشي2!$I$9:$I$23</c:f>
              <c:numCache>
                <c:formatCode>#,##0</c:formatCode>
                <c:ptCount val="15"/>
                <c:pt idx="0">
                  <c:v>378</c:v>
                </c:pt>
                <c:pt idx="1">
                  <c:v>4589</c:v>
                </c:pt>
                <c:pt idx="2">
                  <c:v>9733</c:v>
                </c:pt>
                <c:pt idx="3">
                  <c:v>1141</c:v>
                </c:pt>
                <c:pt idx="4">
                  <c:v>37352</c:v>
                </c:pt>
                <c:pt idx="5">
                  <c:v>5453</c:v>
                </c:pt>
                <c:pt idx="6">
                  <c:v>4206</c:v>
                </c:pt>
                <c:pt idx="7">
                  <c:v>5193</c:v>
                </c:pt>
                <c:pt idx="8">
                  <c:v>2001</c:v>
                </c:pt>
                <c:pt idx="9">
                  <c:v>8464</c:v>
                </c:pt>
                <c:pt idx="10">
                  <c:v>2111</c:v>
                </c:pt>
                <c:pt idx="11">
                  <c:v>1954</c:v>
                </c:pt>
                <c:pt idx="12">
                  <c:v>5608</c:v>
                </c:pt>
                <c:pt idx="13">
                  <c:v>1795</c:v>
                </c:pt>
                <c:pt idx="14">
                  <c:v>7015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945600"/>
        <c:axId val="109947520"/>
        <c:axId val="0"/>
      </c:bar3DChart>
      <c:catAx>
        <c:axId val="1099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7997538788664077"/>
              <c:y val="0.8022887825296347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3600000" vert="horz"/>
          <a:lstStyle/>
          <a:p>
            <a:pPr>
              <a:defRPr lang="en-US"/>
            </a:pPr>
            <a:endParaRPr lang="en-US"/>
          </a:p>
        </c:txPr>
        <c:crossAx val="1099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475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0.11370860557324022"/>
              <c:y val="0.118192407321634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0994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76095940135139"/>
          <c:y val="0.50708061002178662"/>
          <c:w val="0.17992830164522375"/>
          <c:h val="0.10329781215510606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 alignWithMargins="0">
      <c:oddFooter>&amp;C37</c:oddFooter>
    </c:headerFooter>
    <c:pageMargins b="0.98425196850393659" l="0.23622047244094499" r="1.1417322834645698" t="0.98425196850393659" header="0.511811023622047" footer="0.511811023622047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7</xdr:row>
      <xdr:rowOff>152399</xdr:rowOff>
    </xdr:from>
    <xdr:ext cx="2458600" cy="254557"/>
    <xdr:sp macro="" textlink="">
      <xdr:nvSpPr>
        <xdr:cNvPr id="9" name="TextBox 8"/>
        <xdr:cNvSpPr txBox="1"/>
      </xdr:nvSpPr>
      <xdr:spPr>
        <a:xfrm rot="10800000" flipV="1">
          <a:off x="9983437100" y="1285874"/>
          <a:ext cx="245860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1" anchor="t">
          <a:spAutoFit/>
        </a:bodyPr>
        <a:lstStyle/>
        <a:p>
          <a:pPr algn="r" rtl="1"/>
          <a:endParaRPr lang="ar-IQ" sz="1100"/>
        </a:p>
      </xdr:txBody>
    </xdr:sp>
    <xdr:clientData/>
  </xdr:oneCellAnchor>
  <xdr:twoCellAnchor>
    <xdr:from>
      <xdr:col>1</xdr:col>
      <xdr:colOff>25400</xdr:colOff>
      <xdr:row>2</xdr:row>
      <xdr:rowOff>1</xdr:rowOff>
    </xdr:from>
    <xdr:to>
      <xdr:col>9</xdr:col>
      <xdr:colOff>520700</xdr:colOff>
      <xdr:row>36</xdr:row>
      <xdr:rowOff>12701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114299</xdr:colOff>
      <xdr:row>34</xdr:row>
      <xdr:rowOff>123825</xdr:rowOff>
    </xdr:to>
    <xdr:graphicFrame macro="">
      <xdr:nvGraphicFramePr>
        <xdr:cNvPr id="205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19050</xdr:rowOff>
    </xdr:from>
    <xdr:to>
      <xdr:col>12</xdr:col>
      <xdr:colOff>247650</xdr:colOff>
      <xdr:row>32</xdr:row>
      <xdr:rowOff>66676</xdr:rowOff>
    </xdr:to>
    <xdr:graphicFrame macro="">
      <xdr:nvGraphicFramePr>
        <xdr:cNvPr id="21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0.25169</cdr:x>
      <cdr:y>0.01081</cdr:y>
    </cdr:from>
    <cdr:to>
      <cdr:x>0.60481</cdr:x>
      <cdr:y>0.05946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5438" y="38094"/>
          <a:ext cx="22383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0.21337</cdr:x>
      <cdr:y>0.02772</cdr:y>
    </cdr:from>
    <cdr:to>
      <cdr:x>0.78116</cdr:x>
      <cdr:y>0.13859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71639" y="123820"/>
          <a:ext cx="444817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0.27781</cdr:x>
      <cdr:y>0.06396</cdr:y>
    </cdr:from>
    <cdr:to>
      <cdr:x>0.68875</cdr:x>
      <cdr:y>0.14499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76464" y="285745"/>
          <a:ext cx="32194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0.2231</cdr:x>
      <cdr:y>0.03411</cdr:y>
    </cdr:from>
    <cdr:to>
      <cdr:x>0.89179</cdr:x>
      <cdr:y>0.13859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747839" y="152395"/>
          <a:ext cx="523875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0.14043</cdr:x>
      <cdr:y>0.0771</cdr:y>
    </cdr:from>
    <cdr:to>
      <cdr:x>0.94407</cdr:x>
      <cdr:y>0.18337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293009" y="431798"/>
          <a:ext cx="7399516" cy="595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ar-IQ" sz="1100" b="1"/>
            <a:t>شكل رقم (1) </a:t>
          </a:r>
        </a:p>
        <a:p xmlns:a="http://schemas.openxmlformats.org/drawingml/2006/main">
          <a:pPr algn="ctr"/>
          <a:r>
            <a:rPr lang="ar-IQ" b="1">
              <a:effectLst/>
            </a:rPr>
            <a:t>الكلفة الكلية وقيمة المواد الانشائية واجور العاملين لابنية القطاع الخاص للسنوات (2008-2018)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</xdr:row>
      <xdr:rowOff>19050</xdr:rowOff>
    </xdr:from>
    <xdr:to>
      <xdr:col>14</xdr:col>
      <xdr:colOff>561975</xdr:colOff>
      <xdr:row>36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0.84888</cdr:x>
      <cdr:y>0.85921</cdr:y>
    </cdr:from>
    <cdr:to>
      <cdr:x>0.95795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53150" y="4533900"/>
          <a:ext cx="790575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نوع</a:t>
          </a:r>
          <a:r>
            <a:rPr lang="ar-IQ" sz="1100" baseline="0"/>
            <a:t> البناء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</xdr:rowOff>
    </xdr:from>
    <xdr:to>
      <xdr:col>14</xdr:col>
      <xdr:colOff>238125</xdr:colOff>
      <xdr:row>38</xdr:row>
      <xdr:rowOff>152400</xdr:rowOff>
    </xdr:to>
    <xdr:graphicFrame macro="">
      <xdr:nvGraphicFramePr>
        <xdr:cNvPr id="17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596319</xdr:colOff>
      <xdr:row>35</xdr:row>
      <xdr:rowOff>152400</xdr:rowOff>
    </xdr:from>
    <xdr:ext cx="658514" cy="264560"/>
    <xdr:sp macro="" textlink="">
      <xdr:nvSpPr>
        <xdr:cNvPr id="2" name="TextBox 1"/>
        <xdr:cNvSpPr txBox="1"/>
      </xdr:nvSpPr>
      <xdr:spPr>
        <a:xfrm>
          <a:off x="9986479192" y="5819775"/>
          <a:ext cx="6585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ar-IQ" sz="1100"/>
            <a:t>المحافظات</a:t>
          </a:r>
          <a:endParaRPr lang="en-US" sz="1100"/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0.13028</cdr:x>
      <cdr:y>0.1222</cdr:y>
    </cdr:from>
    <cdr:to>
      <cdr:x>0.24296</cdr:x>
      <cdr:y>0.28744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57275" y="676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  <cdr:relSizeAnchor xmlns:cdr="http://schemas.openxmlformats.org/drawingml/2006/chartDrawing">
    <cdr:from>
      <cdr:x>0.29204</cdr:x>
      <cdr:y>0.00775</cdr:y>
    </cdr:from>
    <cdr:to>
      <cdr:x>0.77434</cdr:x>
      <cdr:y>0.09457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514640" y="47625"/>
          <a:ext cx="4152892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ar-IQ" sz="1200" b="1"/>
            <a:t>شكل رقم (3)</a:t>
          </a:r>
        </a:p>
        <a:p xmlns:a="http://schemas.openxmlformats.org/drawingml/2006/main">
          <a:pPr algn="ctr"/>
          <a:r>
            <a:rPr lang="ar-IQ" sz="1400" b="1"/>
            <a:t>عدد العاملين في المحافظات لسنة 2018</a:t>
          </a:r>
          <a:endParaRPr lang="en-US" sz="1400" b="1"/>
        </a:p>
      </cdr:txBody>
    </cdr:sp>
  </cdr:relSizeAnchor>
  <cdr:relSizeAnchor xmlns:cdr="http://schemas.openxmlformats.org/drawingml/2006/chartDrawing">
    <cdr:from>
      <cdr:x>0.87721</cdr:x>
      <cdr:y>0.85116</cdr:y>
    </cdr:from>
    <cdr:to>
      <cdr:x>0.9646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53325" y="5229224"/>
          <a:ext cx="7524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247649</xdr:colOff>
      <xdr:row>0</xdr:row>
      <xdr:rowOff>152400</xdr:rowOff>
    </xdr:from>
    <xdr:to>
      <xdr:col>12</xdr:col>
      <xdr:colOff>361948</xdr:colOff>
      <xdr:row>23</xdr:row>
      <xdr:rowOff>85724</xdr:rowOff>
    </xdr:to>
    <xdr:graphicFrame macro="">
      <xdr:nvGraphicFramePr>
        <xdr:cNvPr id="184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0.84945</cdr:x>
      <cdr:y>0.33073</cdr:y>
    </cdr:from>
    <cdr:to>
      <cdr:x>0.91298</cdr:x>
      <cdr:y>0.39063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57874" y="1209675"/>
          <a:ext cx="4381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0.8674</cdr:x>
      <cdr:y>0.38542</cdr:y>
    </cdr:from>
    <cdr:to>
      <cdr:x>1</cdr:x>
      <cdr:y>0.63542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62674" y="1409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2</xdr:row>
      <xdr:rowOff>95249</xdr:rowOff>
    </xdr:from>
    <xdr:to>
      <xdr:col>16</xdr:col>
      <xdr:colOff>228600</xdr:colOff>
      <xdr:row>36</xdr:row>
      <xdr:rowOff>123824</xdr:rowOff>
    </xdr:to>
    <xdr:graphicFrame macro="">
      <xdr:nvGraphicFramePr>
        <xdr:cNvPr id="195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r/Desktop/&#1585;&#1587;&#1605;%20&#1582;&#1575;&#1589;%20&#1602;&#1587;&#1605;&#1577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الكلفه  للسنوات"/>
    </sheetNames>
    <sheetDataSet>
      <sheetData sheetId="0">
        <row r="6">
          <cell r="E6" t="str">
            <v>جديـــــــــــــــــــــــد</v>
          </cell>
          <cell r="H6" t="str">
            <v xml:space="preserve">إضافــــــــــــــــــــــــة </v>
          </cell>
        </row>
        <row r="11">
          <cell r="D11" t="str">
            <v xml:space="preserve">دور سكن  </v>
          </cell>
          <cell r="E11">
            <v>7324</v>
          </cell>
          <cell r="H11">
            <v>2291</v>
          </cell>
        </row>
        <row r="12">
          <cell r="D12" t="str">
            <v xml:space="preserve">العمارات السكنية </v>
          </cell>
          <cell r="E12">
            <v>6</v>
          </cell>
          <cell r="H12">
            <v>1</v>
          </cell>
        </row>
        <row r="13">
          <cell r="D13" t="str">
            <v xml:space="preserve">العمارات التجارية </v>
          </cell>
          <cell r="E13">
            <v>175</v>
          </cell>
          <cell r="H13">
            <v>12</v>
          </cell>
        </row>
        <row r="14">
          <cell r="D14" t="str">
            <v xml:space="preserve">أبنية  صناعية  </v>
          </cell>
          <cell r="E14">
            <v>16</v>
          </cell>
          <cell r="H14">
            <v>4</v>
          </cell>
        </row>
        <row r="15">
          <cell r="D15" t="str">
            <v xml:space="preserve">أبنية  تجارية </v>
          </cell>
          <cell r="E15">
            <v>30</v>
          </cell>
          <cell r="H15">
            <v>4</v>
          </cell>
        </row>
        <row r="16">
          <cell r="D16" t="str">
            <v>أبنية اجتماعية</v>
          </cell>
          <cell r="E16">
            <v>18</v>
          </cell>
          <cell r="H16">
            <v>7</v>
          </cell>
        </row>
      </sheetData>
      <sheetData sheetId="1">
        <row r="6">
          <cell r="B6" t="str">
            <v>الكلفة الكلية (مليون )</v>
          </cell>
          <cell r="C6" t="str">
            <v xml:space="preserve">     قيمه المواد الانشائيه(مليون)</v>
          </cell>
          <cell r="D6" t="str">
            <v xml:space="preserve"> الاجور المدفوعه    (مليون)</v>
          </cell>
        </row>
        <row r="10">
          <cell r="A10">
            <v>2008</v>
          </cell>
          <cell r="B10">
            <v>544337</v>
          </cell>
          <cell r="C10">
            <v>422081</v>
          </cell>
          <cell r="D10">
            <v>132192</v>
          </cell>
        </row>
        <row r="11">
          <cell r="A11">
            <v>2009</v>
          </cell>
          <cell r="B11">
            <v>1392693</v>
          </cell>
          <cell r="C11">
            <v>1059909</v>
          </cell>
          <cell r="D11">
            <v>332783</v>
          </cell>
        </row>
        <row r="12">
          <cell r="A12">
            <v>2010</v>
          </cell>
          <cell r="B12">
            <v>1968163</v>
          </cell>
          <cell r="C12">
            <v>1486827</v>
          </cell>
          <cell r="D12">
            <v>481335</v>
          </cell>
        </row>
        <row r="13">
          <cell r="A13">
            <v>2011</v>
          </cell>
          <cell r="B13">
            <v>2150495</v>
          </cell>
          <cell r="C13">
            <v>1583820</v>
          </cell>
          <cell r="D13">
            <v>566675</v>
          </cell>
        </row>
        <row r="14">
          <cell r="A14">
            <v>2012</v>
          </cell>
          <cell r="B14">
            <v>4421670</v>
          </cell>
          <cell r="C14">
            <v>3622019</v>
          </cell>
          <cell r="D14">
            <v>661140</v>
          </cell>
        </row>
        <row r="15">
          <cell r="A15">
            <v>2013</v>
          </cell>
          <cell r="B15">
            <v>7158371</v>
          </cell>
          <cell r="C15">
            <v>6603278</v>
          </cell>
          <cell r="D15">
            <v>555092</v>
          </cell>
        </row>
        <row r="16">
          <cell r="A16">
            <v>2014</v>
          </cell>
          <cell r="B16">
            <v>3320102</v>
          </cell>
          <cell r="C16">
            <v>2873631</v>
          </cell>
          <cell r="D16">
            <v>446471</v>
          </cell>
        </row>
        <row r="17">
          <cell r="A17">
            <v>2015</v>
          </cell>
          <cell r="B17">
            <v>1932360</v>
          </cell>
          <cell r="C17">
            <v>1231567</v>
          </cell>
          <cell r="D17">
            <v>700793</v>
          </cell>
        </row>
        <row r="18">
          <cell r="A18">
            <v>2016</v>
          </cell>
          <cell r="B18">
            <v>1962888</v>
          </cell>
          <cell r="C18">
            <v>1297872</v>
          </cell>
          <cell r="D18">
            <v>659555</v>
          </cell>
        </row>
        <row r="19">
          <cell r="A19">
            <v>2017</v>
          </cell>
          <cell r="B19">
            <v>1479021</v>
          </cell>
          <cell r="C19">
            <v>819485</v>
          </cell>
          <cell r="D19">
            <v>659555</v>
          </cell>
        </row>
        <row r="20">
          <cell r="A20">
            <v>2018</v>
          </cell>
          <cell r="B20">
            <v>1398142</v>
          </cell>
          <cell r="C20">
            <v>901626</v>
          </cell>
          <cell r="D20">
            <v>496515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rightToLeft="1" showWhiteSpace="0" view="pageLayout" zoomScaleSheetLayoutView="100" workbookViewId="0">
      <selection activeCell="E23" sqref="E23"/>
    </sheetView>
  </sheetViews>
  <sheetFormatPr defaultRowHeight="12.75" x14ac:dyDescent="0.2"/>
  <cols>
    <col min="1" max="1" width="8.42578125" customWidth="1"/>
    <col min="2" max="2" width="14.42578125" customWidth="1"/>
    <col min="3" max="3" width="19.5703125" customWidth="1"/>
    <col min="4" max="4" width="15.28515625" customWidth="1"/>
    <col min="5" max="5" width="14.42578125" customWidth="1"/>
    <col min="6" max="6" width="16.140625" customWidth="1"/>
    <col min="7" max="7" width="19" customWidth="1"/>
    <col min="8" max="8" width="5.28515625" customWidth="1"/>
  </cols>
  <sheetData>
    <row r="3" spans="1:7" ht="18.75" customHeight="1" x14ac:dyDescent="0.25">
      <c r="A3" s="816" t="s">
        <v>462</v>
      </c>
      <c r="B3" s="816"/>
      <c r="C3" s="816"/>
      <c r="D3" s="816"/>
      <c r="E3" s="816"/>
      <c r="F3" s="816"/>
      <c r="G3" s="816"/>
    </row>
    <row r="4" spans="1:7" ht="15" x14ac:dyDescent="0.25">
      <c r="A4" s="817" t="s">
        <v>463</v>
      </c>
      <c r="B4" s="817"/>
      <c r="C4" s="817"/>
      <c r="D4" s="817"/>
      <c r="E4" s="817"/>
      <c r="F4" s="817"/>
      <c r="G4" s="817"/>
    </row>
    <row r="5" spans="1:7" ht="15" x14ac:dyDescent="0.25">
      <c r="A5" s="25" t="s">
        <v>461</v>
      </c>
      <c r="B5" s="75"/>
      <c r="C5" s="75"/>
      <c r="D5" s="75"/>
      <c r="E5" s="75"/>
      <c r="F5" s="75"/>
      <c r="G5" s="215" t="s">
        <v>215</v>
      </c>
    </row>
    <row r="6" spans="1:7" ht="15.75" customHeight="1" x14ac:dyDescent="0.2">
      <c r="A6" s="212"/>
      <c r="B6" s="818" t="s">
        <v>287</v>
      </c>
      <c r="C6" s="819" t="s">
        <v>286</v>
      </c>
      <c r="D6" s="819" t="s">
        <v>288</v>
      </c>
      <c r="E6" s="819" t="s">
        <v>493</v>
      </c>
      <c r="F6" s="818" t="s">
        <v>212</v>
      </c>
      <c r="G6" s="819" t="s">
        <v>213</v>
      </c>
    </row>
    <row r="7" spans="1:7" ht="15" customHeight="1" x14ac:dyDescent="0.2">
      <c r="A7" s="235"/>
      <c r="B7" s="818"/>
      <c r="C7" s="819"/>
      <c r="D7" s="819"/>
      <c r="E7" s="819"/>
      <c r="F7" s="818"/>
      <c r="G7" s="819"/>
    </row>
    <row r="8" spans="1:7" ht="47.25" customHeight="1" x14ac:dyDescent="0.2">
      <c r="A8" s="236" t="s">
        <v>197</v>
      </c>
      <c r="B8" s="12" t="s">
        <v>369</v>
      </c>
      <c r="C8" s="13" t="s">
        <v>337</v>
      </c>
      <c r="D8" s="13" t="s">
        <v>339</v>
      </c>
      <c r="E8" s="13" t="s">
        <v>336</v>
      </c>
      <c r="F8" s="13" t="s">
        <v>335</v>
      </c>
      <c r="G8" s="14" t="s">
        <v>338</v>
      </c>
    </row>
    <row r="9" spans="1:7" ht="15" x14ac:dyDescent="0.2">
      <c r="A9" s="212" t="s">
        <v>362</v>
      </c>
      <c r="B9" s="339" t="s">
        <v>290</v>
      </c>
      <c r="C9" s="339" t="s">
        <v>290</v>
      </c>
      <c r="D9" s="339" t="s">
        <v>290</v>
      </c>
      <c r="E9" s="339" t="s">
        <v>137</v>
      </c>
      <c r="F9" s="339" t="s">
        <v>367</v>
      </c>
      <c r="G9" s="339" t="s">
        <v>214</v>
      </c>
    </row>
    <row r="10" spans="1:7" ht="15" customHeight="1" x14ac:dyDescent="0.25">
      <c r="A10" s="210">
        <v>2008</v>
      </c>
      <c r="B10" s="513">
        <v>544337</v>
      </c>
      <c r="C10" s="513">
        <v>422081</v>
      </c>
      <c r="D10" s="513">
        <v>132192</v>
      </c>
      <c r="E10" s="513">
        <v>14285</v>
      </c>
      <c r="F10" s="513">
        <v>10789</v>
      </c>
      <c r="G10" s="513">
        <v>7</v>
      </c>
    </row>
    <row r="11" spans="1:7" ht="15" customHeight="1" x14ac:dyDescent="0.25">
      <c r="A11" s="9">
        <v>2009</v>
      </c>
      <c r="B11" s="339">
        <v>1392693</v>
      </c>
      <c r="C11" s="339">
        <v>1059909</v>
      </c>
      <c r="D11" s="339">
        <v>332783</v>
      </c>
      <c r="E11" s="339">
        <v>38227</v>
      </c>
      <c r="F11" s="339">
        <v>12200</v>
      </c>
      <c r="G11" s="339">
        <v>19</v>
      </c>
    </row>
    <row r="12" spans="1:7" ht="15" customHeight="1" x14ac:dyDescent="0.25">
      <c r="A12" s="210">
        <v>2010</v>
      </c>
      <c r="B12" s="513">
        <v>1968163</v>
      </c>
      <c r="C12" s="513">
        <v>1486827</v>
      </c>
      <c r="D12" s="513">
        <v>481335</v>
      </c>
      <c r="E12" s="513">
        <v>36346</v>
      </c>
      <c r="F12" s="513">
        <v>12789</v>
      </c>
      <c r="G12" s="513">
        <v>17</v>
      </c>
    </row>
    <row r="13" spans="1:7" ht="15" customHeight="1" x14ac:dyDescent="0.25">
      <c r="A13" s="9">
        <v>2011</v>
      </c>
      <c r="B13" s="339">
        <v>2150495</v>
      </c>
      <c r="C13" s="339">
        <v>1583820</v>
      </c>
      <c r="D13" s="339">
        <v>566675</v>
      </c>
      <c r="E13" s="339">
        <v>48214</v>
      </c>
      <c r="F13" s="339">
        <v>14852</v>
      </c>
      <c r="G13" s="339">
        <v>10</v>
      </c>
    </row>
    <row r="14" spans="1:7" ht="15" x14ac:dyDescent="0.25">
      <c r="A14" s="210">
        <v>2012</v>
      </c>
      <c r="B14" s="513">
        <v>4421670</v>
      </c>
      <c r="C14" s="513">
        <v>3622019</v>
      </c>
      <c r="D14" s="513">
        <v>661140</v>
      </c>
      <c r="E14" s="513">
        <v>66391</v>
      </c>
      <c r="F14" s="513">
        <v>21828</v>
      </c>
      <c r="G14" s="513">
        <v>11</v>
      </c>
    </row>
    <row r="15" spans="1:7" ht="15" x14ac:dyDescent="0.25">
      <c r="A15" s="9">
        <v>2013</v>
      </c>
      <c r="B15" s="339" t="s">
        <v>365</v>
      </c>
      <c r="C15" s="339" t="s">
        <v>366</v>
      </c>
      <c r="D15" s="339">
        <v>555092</v>
      </c>
      <c r="E15" s="339">
        <v>61558</v>
      </c>
      <c r="F15" s="339">
        <v>15388</v>
      </c>
      <c r="G15" s="339">
        <v>13</v>
      </c>
    </row>
    <row r="16" spans="1:7" s="7" customFormat="1" ht="15" x14ac:dyDescent="0.2">
      <c r="A16" s="244">
        <v>2014</v>
      </c>
      <c r="B16" s="513">
        <v>3320102</v>
      </c>
      <c r="C16" s="513">
        <v>2873631</v>
      </c>
      <c r="D16" s="513">
        <v>446471</v>
      </c>
      <c r="E16" s="513">
        <v>36291</v>
      </c>
      <c r="F16" s="513">
        <v>11580</v>
      </c>
      <c r="G16" s="513">
        <v>8</v>
      </c>
    </row>
    <row r="17" spans="1:11" ht="15" x14ac:dyDescent="0.25">
      <c r="A17" s="10">
        <v>2015</v>
      </c>
      <c r="B17" s="782" t="s">
        <v>389</v>
      </c>
      <c r="C17" s="782" t="s">
        <v>391</v>
      </c>
      <c r="D17" s="339">
        <v>700793</v>
      </c>
      <c r="E17" s="339">
        <v>36655</v>
      </c>
      <c r="F17" s="339">
        <v>10886</v>
      </c>
      <c r="G17" s="339">
        <v>4</v>
      </c>
    </row>
    <row r="18" spans="1:11" s="211" customFormat="1" ht="15" x14ac:dyDescent="0.25">
      <c r="A18" s="75">
        <v>2016</v>
      </c>
      <c r="B18" s="784" t="s">
        <v>390</v>
      </c>
      <c r="C18" s="784" t="s">
        <v>392</v>
      </c>
      <c r="D18" s="513">
        <v>659555</v>
      </c>
      <c r="E18" s="513">
        <v>37973</v>
      </c>
      <c r="F18" s="513">
        <v>9369</v>
      </c>
      <c r="G18" s="513">
        <v>11</v>
      </c>
    </row>
    <row r="19" spans="1:11" s="447" customFormat="1" ht="15" x14ac:dyDescent="0.25">
      <c r="A19" s="10">
        <v>2017</v>
      </c>
      <c r="B19" s="516">
        <v>1479021</v>
      </c>
      <c r="C19" s="516">
        <v>819485</v>
      </c>
      <c r="D19" s="516">
        <v>659555</v>
      </c>
      <c r="E19" s="516">
        <v>41885</v>
      </c>
      <c r="F19" s="516">
        <v>8836</v>
      </c>
      <c r="G19" s="514">
        <v>2</v>
      </c>
      <c r="H19" s="807"/>
      <c r="I19" s="807"/>
      <c r="J19" s="807"/>
      <c r="K19" s="807"/>
    </row>
    <row r="20" spans="1:11" ht="15" x14ac:dyDescent="0.25">
      <c r="A20" s="25">
        <v>2018</v>
      </c>
      <c r="B20" s="517">
        <v>1371746</v>
      </c>
      <c r="C20" s="517">
        <v>875230</v>
      </c>
      <c r="D20" s="517">
        <v>496515</v>
      </c>
      <c r="E20" s="517">
        <v>36379</v>
      </c>
      <c r="F20" s="517">
        <v>7324</v>
      </c>
      <c r="G20" s="783">
        <v>6</v>
      </c>
    </row>
    <row r="21" spans="1:11" x14ac:dyDescent="0.2">
      <c r="B21" s="6"/>
      <c r="C21" s="6"/>
      <c r="G21" s="6"/>
    </row>
    <row r="23" spans="1:11" x14ac:dyDescent="0.2">
      <c r="C23" s="7"/>
      <c r="D23" s="7"/>
      <c r="E23" s="7"/>
      <c r="F23" s="7"/>
      <c r="G23" s="7"/>
    </row>
    <row r="24" spans="1:11" x14ac:dyDescent="0.2">
      <c r="B24" s="6"/>
      <c r="C24" s="6"/>
      <c r="D24" s="6"/>
      <c r="E24" s="6"/>
      <c r="F24" s="6"/>
      <c r="G24" s="6"/>
    </row>
    <row r="25" spans="1:11" x14ac:dyDescent="0.2">
      <c r="D25" s="6"/>
      <c r="E25" s="6"/>
    </row>
    <row r="37" spans="4:5" x14ac:dyDescent="0.2">
      <c r="D37" s="773"/>
      <c r="E37" s="773"/>
    </row>
    <row r="38" spans="4:5" x14ac:dyDescent="0.2">
      <c r="D38" s="773"/>
      <c r="E38" s="773"/>
    </row>
    <row r="39" spans="4:5" x14ac:dyDescent="0.2">
      <c r="D39" s="773"/>
      <c r="E39" s="773"/>
    </row>
    <row r="40" spans="4:5" x14ac:dyDescent="0.2">
      <c r="D40" s="773"/>
      <c r="E40" s="773"/>
    </row>
    <row r="41" spans="4:5" x14ac:dyDescent="0.2">
      <c r="D41" s="773"/>
      <c r="E41" s="773"/>
    </row>
    <row r="42" spans="4:5" x14ac:dyDescent="0.2">
      <c r="D42" s="773"/>
      <c r="E42" s="773"/>
    </row>
    <row r="43" spans="4:5" x14ac:dyDescent="0.2">
      <c r="D43" s="773"/>
      <c r="E43" s="773"/>
    </row>
    <row r="44" spans="4:5" x14ac:dyDescent="0.2">
      <c r="D44" s="773"/>
      <c r="E44" s="773"/>
    </row>
    <row r="45" spans="4:5" x14ac:dyDescent="0.2">
      <c r="D45" s="773"/>
      <c r="E45" s="773"/>
    </row>
    <row r="46" spans="4:5" x14ac:dyDescent="0.2">
      <c r="D46" s="773"/>
      <c r="E46" s="773"/>
    </row>
    <row r="47" spans="4:5" x14ac:dyDescent="0.2">
      <c r="D47" s="773"/>
      <c r="E47" s="773"/>
    </row>
    <row r="58" s="815" customFormat="1" x14ac:dyDescent="0.2"/>
  </sheetData>
  <mergeCells count="9">
    <mergeCell ref="A58:XFD58"/>
    <mergeCell ref="A3:G3"/>
    <mergeCell ref="A4:G4"/>
    <mergeCell ref="B6:B7"/>
    <mergeCell ref="C6:C7"/>
    <mergeCell ref="D6:D7"/>
    <mergeCell ref="E6:E7"/>
    <mergeCell ref="F6:F7"/>
    <mergeCell ref="G6:G7"/>
  </mergeCells>
  <phoneticPr fontId="3" type="noConversion"/>
  <printOptions horizontalCentered="1" verticalCentered="1"/>
  <pageMargins left="0.25" right="1.31" top="1" bottom="1.81" header="0.2" footer="0.78"/>
  <pageSetup paperSize="9" scale="95" orientation="landscape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21"/>
  <sheetViews>
    <sheetView rightToLeft="1" view="pageLayout" zoomScaleSheetLayoutView="100" workbookViewId="0">
      <selection activeCell="K20" sqref="K20"/>
    </sheetView>
  </sheetViews>
  <sheetFormatPr defaultRowHeight="12.75" x14ac:dyDescent="0.2"/>
  <cols>
    <col min="1" max="1" width="0.42578125" customWidth="1"/>
    <col min="2" max="2" width="14.5703125" customWidth="1"/>
    <col min="3" max="3" width="10.28515625" customWidth="1"/>
    <col min="4" max="4" width="13.28515625" style="478" customWidth="1"/>
    <col min="5" max="5" width="16.140625" customWidth="1"/>
    <col min="6" max="6" width="14.140625" customWidth="1"/>
    <col min="7" max="7" width="17.42578125" customWidth="1"/>
    <col min="8" max="8" width="15.5703125" customWidth="1"/>
    <col min="9" max="9" width="0.7109375" hidden="1" customWidth="1"/>
  </cols>
  <sheetData>
    <row r="1" spans="1:11" ht="15" x14ac:dyDescent="0.25">
      <c r="A1" s="21"/>
      <c r="B1" s="821" t="s">
        <v>411</v>
      </c>
      <c r="C1" s="821"/>
      <c r="D1" s="821"/>
      <c r="E1" s="821"/>
      <c r="F1" s="821"/>
      <c r="G1" s="821"/>
      <c r="H1" s="821"/>
      <c r="J1" s="211"/>
      <c r="K1" s="211"/>
    </row>
    <row r="2" spans="1:11" ht="15" customHeight="1" x14ac:dyDescent="0.25">
      <c r="A2" s="21"/>
      <c r="B2" s="846" t="s">
        <v>412</v>
      </c>
      <c r="C2" s="846"/>
      <c r="D2" s="846"/>
      <c r="E2" s="846"/>
      <c r="F2" s="846"/>
      <c r="G2" s="846"/>
      <c r="H2" s="846"/>
      <c r="J2" s="211"/>
      <c r="K2" s="211"/>
    </row>
    <row r="3" spans="1:11" ht="16.5" customHeight="1" x14ac:dyDescent="0.25">
      <c r="A3" s="21"/>
      <c r="B3" s="846"/>
      <c r="C3" s="846"/>
      <c r="D3" s="846"/>
      <c r="E3" s="846"/>
      <c r="F3" s="846"/>
      <c r="G3" s="846"/>
      <c r="H3" s="846"/>
      <c r="J3" s="211"/>
      <c r="K3" s="211"/>
    </row>
    <row r="4" spans="1:11" s="7" customFormat="1" ht="16.5" customHeight="1" x14ac:dyDescent="0.25">
      <c r="A4" s="21"/>
      <c r="B4" s="321"/>
      <c r="C4" s="321"/>
      <c r="D4" s="468"/>
      <c r="E4" s="321"/>
      <c r="F4" s="321"/>
      <c r="G4" s="848" t="s">
        <v>223</v>
      </c>
      <c r="H4" s="848"/>
      <c r="I4" s="330"/>
      <c r="J4" s="211"/>
      <c r="K4" s="211"/>
    </row>
    <row r="5" spans="1:11" ht="15" customHeight="1" thickBot="1" x14ac:dyDescent="0.3">
      <c r="A5" s="21"/>
      <c r="B5" s="847" t="s">
        <v>193</v>
      </c>
      <c r="C5" s="847"/>
      <c r="D5" s="54"/>
      <c r="E5" s="21"/>
      <c r="F5" s="840" t="s">
        <v>155</v>
      </c>
      <c r="G5" s="840"/>
      <c r="H5" s="54" t="s">
        <v>194</v>
      </c>
      <c r="J5" s="211"/>
      <c r="K5" s="211"/>
    </row>
    <row r="6" spans="1:11" ht="45.75" customHeight="1" x14ac:dyDescent="0.25">
      <c r="A6" s="21"/>
      <c r="B6" s="41"/>
      <c r="C6" s="68" t="s">
        <v>124</v>
      </c>
      <c r="D6" s="457" t="s">
        <v>504</v>
      </c>
      <c r="E6" s="68" t="s">
        <v>125</v>
      </c>
      <c r="F6" s="68" t="s">
        <v>86</v>
      </c>
      <c r="G6" s="68" t="s">
        <v>135</v>
      </c>
      <c r="H6" s="41"/>
      <c r="J6" s="211"/>
      <c r="K6" s="211"/>
    </row>
    <row r="7" spans="1:11" ht="24.75" customHeight="1" x14ac:dyDescent="0.25">
      <c r="A7" s="44"/>
      <c r="B7" s="21"/>
      <c r="C7" s="241" t="s">
        <v>315</v>
      </c>
      <c r="D7" s="776"/>
      <c r="E7" s="50" t="s">
        <v>149</v>
      </c>
      <c r="F7" s="50" t="s">
        <v>148</v>
      </c>
      <c r="G7" s="50" t="s">
        <v>145</v>
      </c>
      <c r="H7" s="21"/>
      <c r="J7" s="211"/>
      <c r="K7" s="211"/>
    </row>
    <row r="8" spans="1:11" ht="12.75" customHeight="1" thickBot="1" x14ac:dyDescent="0.25">
      <c r="A8" s="845" t="s">
        <v>56</v>
      </c>
      <c r="B8" s="845"/>
      <c r="C8" s="61" t="s">
        <v>139</v>
      </c>
      <c r="D8" s="65"/>
      <c r="E8" s="61" t="s">
        <v>138</v>
      </c>
      <c r="F8" s="61" t="s">
        <v>138</v>
      </c>
      <c r="G8" s="61"/>
      <c r="H8" s="65" t="s">
        <v>26</v>
      </c>
      <c r="J8" s="211"/>
      <c r="K8" s="211"/>
    </row>
    <row r="9" spans="1:11" s="211" customFormat="1" ht="15" customHeight="1" thickTop="1" x14ac:dyDescent="0.25">
      <c r="A9" s="75"/>
      <c r="B9" s="805" t="s">
        <v>30</v>
      </c>
      <c r="C9" s="90">
        <v>3</v>
      </c>
      <c r="D9" s="315">
        <v>0</v>
      </c>
      <c r="E9" s="90">
        <v>5425</v>
      </c>
      <c r="F9" s="90">
        <v>2525</v>
      </c>
      <c r="G9" s="214">
        <v>922950</v>
      </c>
      <c r="H9" s="806" t="s">
        <v>31</v>
      </c>
    </row>
    <row r="10" spans="1:11" s="447" customFormat="1" ht="15" customHeight="1" x14ac:dyDescent="0.25">
      <c r="A10" s="10"/>
      <c r="B10" s="804" t="s">
        <v>4</v>
      </c>
      <c r="C10" s="86">
        <v>2</v>
      </c>
      <c r="D10" s="316">
        <v>1</v>
      </c>
      <c r="E10" s="86">
        <v>2574</v>
      </c>
      <c r="F10" s="86">
        <v>1167</v>
      </c>
      <c r="G10" s="87">
        <v>503810</v>
      </c>
      <c r="H10" s="11" t="s">
        <v>16</v>
      </c>
      <c r="J10" s="211"/>
      <c r="K10" s="211"/>
    </row>
    <row r="11" spans="1:11" s="211" customFormat="1" ht="15" customHeight="1" x14ac:dyDescent="0.25">
      <c r="A11" s="75"/>
      <c r="B11" s="805" t="s">
        <v>5</v>
      </c>
      <c r="C11" s="90">
        <v>3</v>
      </c>
      <c r="D11" s="315">
        <v>0</v>
      </c>
      <c r="E11" s="90">
        <v>1591</v>
      </c>
      <c r="F11" s="90">
        <v>1324</v>
      </c>
      <c r="G11" s="214">
        <v>449889</v>
      </c>
      <c r="H11" s="806" t="s">
        <v>23</v>
      </c>
    </row>
    <row r="12" spans="1:11" s="447" customFormat="1" ht="15" customHeight="1" x14ac:dyDescent="0.25">
      <c r="A12" s="10"/>
      <c r="B12" s="804" t="s">
        <v>6</v>
      </c>
      <c r="C12" s="86">
        <v>2</v>
      </c>
      <c r="D12" s="316">
        <v>0</v>
      </c>
      <c r="E12" s="86">
        <v>2328</v>
      </c>
      <c r="F12" s="86">
        <v>2360</v>
      </c>
      <c r="G12" s="87">
        <v>836136</v>
      </c>
      <c r="H12" s="17" t="s">
        <v>24</v>
      </c>
      <c r="J12" s="211"/>
      <c r="K12" s="211"/>
    </row>
    <row r="13" spans="1:11" s="211" customFormat="1" ht="15" customHeight="1" x14ac:dyDescent="0.25">
      <c r="A13" s="75"/>
      <c r="B13" s="805" t="s">
        <v>11</v>
      </c>
      <c r="C13" s="90">
        <v>1</v>
      </c>
      <c r="D13" s="315">
        <v>0</v>
      </c>
      <c r="E13" s="90">
        <v>736</v>
      </c>
      <c r="F13" s="90">
        <v>427</v>
      </c>
      <c r="G13" s="214">
        <v>149313</v>
      </c>
      <c r="H13" s="59" t="s">
        <v>21</v>
      </c>
    </row>
    <row r="14" spans="1:11" s="447" customFormat="1" ht="15" customHeight="1" x14ac:dyDescent="0.25">
      <c r="A14" s="10"/>
      <c r="B14" s="804" t="s">
        <v>8</v>
      </c>
      <c r="C14" s="86">
        <v>1</v>
      </c>
      <c r="D14" s="316">
        <v>0</v>
      </c>
      <c r="E14" s="86">
        <v>488</v>
      </c>
      <c r="F14" s="86">
        <v>195</v>
      </c>
      <c r="G14" s="87">
        <v>58617</v>
      </c>
      <c r="H14" s="11" t="s">
        <v>18</v>
      </c>
      <c r="J14" s="211"/>
      <c r="K14" s="211"/>
    </row>
    <row r="15" spans="1:11" s="211" customFormat="1" ht="15" customHeight="1" x14ac:dyDescent="0.25">
      <c r="A15" s="75"/>
      <c r="B15" s="805" t="s">
        <v>10</v>
      </c>
      <c r="C15" s="90">
        <v>1</v>
      </c>
      <c r="D15" s="315">
        <v>0</v>
      </c>
      <c r="E15" s="90">
        <v>962</v>
      </c>
      <c r="F15" s="90">
        <v>300</v>
      </c>
      <c r="G15" s="214">
        <v>74925</v>
      </c>
      <c r="H15" s="59" t="s">
        <v>20</v>
      </c>
    </row>
    <row r="16" spans="1:11" s="447" customFormat="1" ht="15" customHeight="1" x14ac:dyDescent="0.25">
      <c r="A16" s="10"/>
      <c r="B16" s="804" t="s">
        <v>12</v>
      </c>
      <c r="C16" s="86">
        <v>1</v>
      </c>
      <c r="D16" s="316">
        <v>0</v>
      </c>
      <c r="E16" s="86">
        <v>163</v>
      </c>
      <c r="F16" s="86">
        <v>155</v>
      </c>
      <c r="G16" s="87">
        <v>45562</v>
      </c>
      <c r="H16" s="11" t="s">
        <v>25</v>
      </c>
      <c r="J16" s="211"/>
      <c r="K16" s="211"/>
    </row>
    <row r="17" spans="1:11" ht="15" customHeight="1" thickBot="1" x14ac:dyDescent="0.3">
      <c r="A17" s="21"/>
      <c r="B17" s="378" t="s">
        <v>13</v>
      </c>
      <c r="C17" s="90">
        <v>1</v>
      </c>
      <c r="D17" s="315">
        <v>0</v>
      </c>
      <c r="E17" s="90">
        <v>8662</v>
      </c>
      <c r="F17" s="90">
        <v>5866</v>
      </c>
      <c r="G17" s="214">
        <v>2364957</v>
      </c>
      <c r="H17" s="379" t="s">
        <v>22</v>
      </c>
      <c r="J17" s="211"/>
      <c r="K17" s="211"/>
    </row>
    <row r="18" spans="1:11" s="211" customFormat="1" ht="17.25" customHeight="1" thickBot="1" x14ac:dyDescent="0.25">
      <c r="A18" s="808"/>
      <c r="B18" s="259" t="s">
        <v>0</v>
      </c>
      <c r="C18" s="255">
        <v>15</v>
      </c>
      <c r="D18" s="762">
        <f>SUM(D9:D17)</f>
        <v>1</v>
      </c>
      <c r="E18" s="255">
        <f>SUM(E9:E17)</f>
        <v>22929</v>
      </c>
      <c r="F18" s="255">
        <f>SUM(F9:F17)</f>
        <v>14319</v>
      </c>
      <c r="G18" s="255">
        <f>SUM(G9:G17)</f>
        <v>5406159</v>
      </c>
      <c r="H18" s="261" t="s">
        <v>1</v>
      </c>
    </row>
    <row r="19" spans="1:11" ht="13.5" thickTop="1" x14ac:dyDescent="0.2">
      <c r="B19" s="777" t="s">
        <v>501</v>
      </c>
      <c r="C19" s="777"/>
      <c r="D19" s="777"/>
      <c r="E19" s="777"/>
      <c r="F19" s="777"/>
    </row>
    <row r="20" spans="1:11" ht="14.25" customHeight="1" x14ac:dyDescent="0.2">
      <c r="B20" s="844"/>
      <c r="C20" s="815"/>
      <c r="D20" s="815"/>
      <c r="E20" s="815"/>
      <c r="F20" s="815"/>
      <c r="G20" s="815"/>
      <c r="H20" s="815"/>
    </row>
    <row r="21" spans="1:11" x14ac:dyDescent="0.2">
      <c r="B21" s="815"/>
      <c r="C21" s="815"/>
      <c r="D21" s="815"/>
      <c r="E21" s="815"/>
      <c r="F21" s="815"/>
      <c r="G21" s="815"/>
      <c r="H21" s="815"/>
    </row>
  </sheetData>
  <mergeCells count="7">
    <mergeCell ref="B20:H21"/>
    <mergeCell ref="A8:B8"/>
    <mergeCell ref="B1:H1"/>
    <mergeCell ref="B2:H3"/>
    <mergeCell ref="B5:C5"/>
    <mergeCell ref="G4:H4"/>
    <mergeCell ref="F5:G5"/>
  </mergeCells>
  <phoneticPr fontId="3" type="noConversion"/>
  <printOptions horizontalCentered="1" verticalCentered="1"/>
  <pageMargins left="0.66666666666666663" right="1.0900000000000001" top="1.0374015750000001" bottom="0.98425196850393704" header="0.78740157480314998" footer="0.511811023622047"/>
  <pageSetup orientation="landscape" verticalDpi="300" r:id="rId1"/>
  <headerFooter alignWithMargins="0">
    <oddFooter>&amp;C17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rightToLeft="1" view="pageBreakPreview" zoomScale="60" zoomScaleNormal="100" workbookViewId="0">
      <selection activeCell="C23" sqref="C23"/>
    </sheetView>
  </sheetViews>
  <sheetFormatPr defaultRowHeight="12.75" x14ac:dyDescent="0.2"/>
  <cols>
    <col min="1" max="1" width="14.42578125" customWidth="1"/>
    <col min="2" max="2" width="14.28515625" customWidth="1"/>
    <col min="3" max="3" width="15.85546875" customWidth="1"/>
    <col min="4" max="4" width="16.7109375" customWidth="1"/>
    <col min="5" max="5" width="20.140625" customWidth="1"/>
    <col min="6" max="6" width="16.5703125" customWidth="1"/>
  </cols>
  <sheetData>
    <row r="2" spans="1:6" ht="15" x14ac:dyDescent="0.2">
      <c r="A2" s="821" t="s">
        <v>458</v>
      </c>
      <c r="B2" s="821"/>
      <c r="C2" s="821"/>
      <c r="D2" s="821"/>
      <c r="E2" s="821"/>
      <c r="F2" s="821"/>
    </row>
    <row r="3" spans="1:6" x14ac:dyDescent="0.2">
      <c r="A3" s="846" t="s">
        <v>459</v>
      </c>
      <c r="B3" s="846"/>
      <c r="C3" s="846"/>
      <c r="D3" s="846"/>
      <c r="E3" s="846"/>
      <c r="F3" s="846"/>
    </row>
    <row r="4" spans="1:6" x14ac:dyDescent="0.2">
      <c r="A4" s="846"/>
      <c r="B4" s="846"/>
      <c r="C4" s="846"/>
      <c r="D4" s="846"/>
      <c r="E4" s="846"/>
      <c r="F4" s="846"/>
    </row>
    <row r="5" spans="1:6" ht="15" x14ac:dyDescent="0.25">
      <c r="A5" s="488"/>
      <c r="B5" s="488"/>
      <c r="C5" s="493"/>
      <c r="D5" s="488"/>
      <c r="E5" s="848" t="s">
        <v>223</v>
      </c>
      <c r="F5" s="848"/>
    </row>
    <row r="6" spans="1:6" ht="15.75" thickBot="1" x14ac:dyDescent="0.25">
      <c r="A6" s="847" t="s">
        <v>471</v>
      </c>
      <c r="B6" s="847"/>
      <c r="C6" s="54"/>
      <c r="D6" s="840" t="s">
        <v>460</v>
      </c>
      <c r="E6" s="840"/>
      <c r="F6" s="54" t="s">
        <v>472</v>
      </c>
    </row>
    <row r="7" spans="1:6" ht="15" x14ac:dyDescent="0.25">
      <c r="A7" s="41"/>
      <c r="B7" s="491" t="s">
        <v>124</v>
      </c>
      <c r="C7" s="487" t="s">
        <v>441</v>
      </c>
      <c r="D7" s="491" t="s">
        <v>86</v>
      </c>
      <c r="E7" s="491" t="s">
        <v>135</v>
      </c>
      <c r="F7" s="41"/>
    </row>
    <row r="8" spans="1:6" ht="15" x14ac:dyDescent="0.25">
      <c r="A8" s="21"/>
      <c r="B8" s="490" t="s">
        <v>315</v>
      </c>
      <c r="C8" s="492"/>
      <c r="D8" s="490" t="s">
        <v>148</v>
      </c>
      <c r="E8" s="490" t="s">
        <v>145</v>
      </c>
      <c r="F8" s="21"/>
    </row>
    <row r="9" spans="1:6" ht="15.75" thickBot="1" x14ac:dyDescent="0.25">
      <c r="A9" s="489" t="s">
        <v>56</v>
      </c>
      <c r="B9" s="489" t="s">
        <v>139</v>
      </c>
      <c r="C9" s="65"/>
      <c r="D9" s="489" t="s">
        <v>138</v>
      </c>
      <c r="E9" s="489"/>
      <c r="F9" s="65" t="s">
        <v>26</v>
      </c>
    </row>
    <row r="10" spans="1:6" s="7" customFormat="1" ht="15.75" thickTop="1" x14ac:dyDescent="0.2">
      <c r="A10" s="490" t="s">
        <v>395</v>
      </c>
      <c r="B10" s="492">
        <v>0</v>
      </c>
      <c r="C10" s="492">
        <v>1</v>
      </c>
      <c r="D10" s="492">
        <v>15</v>
      </c>
      <c r="E10" s="92">
        <v>3762500</v>
      </c>
      <c r="F10" s="59" t="s">
        <v>397</v>
      </c>
    </row>
    <row r="11" spans="1:6" s="447" customFormat="1" ht="15" x14ac:dyDescent="0.25">
      <c r="A11" s="495" t="s">
        <v>4</v>
      </c>
      <c r="B11" s="316">
        <v>1</v>
      </c>
      <c r="C11" s="316">
        <v>0</v>
      </c>
      <c r="D11" s="316">
        <v>936</v>
      </c>
      <c r="E11" s="512">
        <v>280734000</v>
      </c>
      <c r="F11" s="11" t="s">
        <v>16</v>
      </c>
    </row>
    <row r="12" spans="1:6" s="211" customFormat="1" ht="15" x14ac:dyDescent="0.25">
      <c r="A12" s="505" t="s">
        <v>5</v>
      </c>
      <c r="B12" s="315">
        <v>1</v>
      </c>
      <c r="C12" s="315">
        <v>0</v>
      </c>
      <c r="D12" s="315">
        <v>198</v>
      </c>
      <c r="E12" s="511">
        <v>69300000</v>
      </c>
      <c r="F12" s="507" t="s">
        <v>23</v>
      </c>
    </row>
    <row r="13" spans="1:6" s="538" customFormat="1" ht="15" x14ac:dyDescent="0.25">
      <c r="A13" s="534" t="s">
        <v>11</v>
      </c>
      <c r="B13" s="535">
        <v>0</v>
      </c>
      <c r="C13" s="535">
        <v>1</v>
      </c>
      <c r="D13" s="535">
        <v>85</v>
      </c>
      <c r="E13" s="536">
        <v>25389000</v>
      </c>
      <c r="F13" s="537" t="s">
        <v>21</v>
      </c>
    </row>
    <row r="14" spans="1:6" s="211" customFormat="1" ht="16.5" thickBot="1" x14ac:dyDescent="0.25">
      <c r="A14" s="530" t="s">
        <v>0</v>
      </c>
      <c r="B14" s="531">
        <f>SUM(B10:B13)</f>
        <v>2</v>
      </c>
      <c r="C14" s="531">
        <f>SUM(C10:C13)</f>
        <v>2</v>
      </c>
      <c r="D14" s="532">
        <f>SUM(D10:D13)</f>
        <v>1234</v>
      </c>
      <c r="E14" s="532">
        <f>SUM(E10:E13)</f>
        <v>379185500</v>
      </c>
      <c r="F14" s="533" t="s">
        <v>1</v>
      </c>
    </row>
    <row r="15" spans="1:6" ht="13.5" thickTop="1" x14ac:dyDescent="0.2">
      <c r="A15" s="15" t="s">
        <v>473</v>
      </c>
      <c r="B15" s="15"/>
      <c r="C15" s="15"/>
      <c r="D15" s="15"/>
    </row>
  </sheetData>
  <mergeCells count="5">
    <mergeCell ref="A2:F2"/>
    <mergeCell ref="A3:F4"/>
    <mergeCell ref="E5:F5"/>
    <mergeCell ref="A6:B6"/>
    <mergeCell ref="D6:E6"/>
  </mergeCells>
  <pageMargins left="0.26" right="2.4" top="2.67" bottom="1.68" header="0.3" footer="0.3"/>
  <pageSetup orientation="landscape" horizontalDpi="4294967293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K24"/>
  <sheetViews>
    <sheetView rightToLeft="1" view="pageBreakPreview" zoomScaleNormal="100" zoomScaleSheetLayoutView="100" workbookViewId="0">
      <selection activeCell="P7" sqref="P7"/>
    </sheetView>
  </sheetViews>
  <sheetFormatPr defaultRowHeight="12.75" x14ac:dyDescent="0.2"/>
  <cols>
    <col min="1" max="1" width="11.140625" customWidth="1"/>
    <col min="2" max="2" width="7.5703125" customWidth="1"/>
    <col min="3" max="4" width="8.85546875" style="7" customWidth="1"/>
    <col min="5" max="5" width="12.85546875" style="7" customWidth="1"/>
    <col min="6" max="6" width="16.85546875" style="7" customWidth="1"/>
    <col min="7" max="7" width="13.28515625" customWidth="1"/>
    <col min="8" max="8" width="16.42578125" customWidth="1"/>
    <col min="9" max="9" width="11.28515625" customWidth="1"/>
    <col min="10" max="10" width="17" customWidth="1"/>
    <col min="11" max="11" width="1.140625" hidden="1" customWidth="1"/>
  </cols>
  <sheetData>
    <row r="1" spans="1:11" ht="30.75" customHeight="1" x14ac:dyDescent="0.2">
      <c r="A1" s="821" t="s">
        <v>413</v>
      </c>
      <c r="B1" s="821"/>
      <c r="C1" s="821"/>
      <c r="D1" s="821"/>
      <c r="E1" s="821"/>
      <c r="F1" s="821"/>
      <c r="G1" s="821"/>
      <c r="H1" s="821"/>
      <c r="I1" s="821"/>
      <c r="J1" s="17"/>
    </row>
    <row r="2" spans="1:11" ht="15" customHeight="1" x14ac:dyDescent="0.2">
      <c r="A2" s="829" t="s">
        <v>414</v>
      </c>
      <c r="B2" s="829"/>
      <c r="C2" s="829"/>
      <c r="D2" s="829"/>
      <c r="E2" s="829"/>
      <c r="F2" s="829"/>
      <c r="G2" s="829"/>
      <c r="H2" s="829"/>
      <c r="I2" s="829"/>
      <c r="J2" s="829"/>
    </row>
    <row r="3" spans="1:11" ht="15" customHeight="1" x14ac:dyDescent="0.2">
      <c r="A3" s="829"/>
      <c r="B3" s="829"/>
      <c r="C3" s="829"/>
      <c r="D3" s="829"/>
      <c r="E3" s="829"/>
      <c r="F3" s="829"/>
      <c r="G3" s="829"/>
      <c r="H3" s="829"/>
      <c r="I3" s="829"/>
      <c r="J3" s="829"/>
    </row>
    <row r="4" spans="1:11" s="7" customFormat="1" ht="15" customHeight="1" x14ac:dyDescent="0.25">
      <c r="A4" s="318"/>
      <c r="B4" s="318"/>
      <c r="C4" s="459"/>
      <c r="D4" s="459"/>
      <c r="E4" s="459"/>
      <c r="F4" s="459"/>
      <c r="G4" s="318"/>
      <c r="H4" s="318"/>
      <c r="I4" s="318"/>
      <c r="J4" s="817" t="s">
        <v>223</v>
      </c>
      <c r="K4" s="817"/>
    </row>
    <row r="5" spans="1:11" ht="18.75" customHeight="1" thickBot="1" x14ac:dyDescent="0.3">
      <c r="A5" s="66" t="s">
        <v>474</v>
      </c>
      <c r="B5" s="27"/>
      <c r="C5" s="27"/>
      <c r="D5" s="27"/>
      <c r="E5" s="27"/>
      <c r="F5" s="27"/>
      <c r="G5" s="70"/>
      <c r="H5" s="850" t="s">
        <v>160</v>
      </c>
      <c r="I5" s="850"/>
      <c r="J5" s="69" t="s">
        <v>127</v>
      </c>
    </row>
    <row r="6" spans="1:11" ht="33.75" customHeight="1" x14ac:dyDescent="0.25">
      <c r="A6" s="45"/>
      <c r="B6" s="456" t="s">
        <v>112</v>
      </c>
      <c r="C6" s="456" t="s">
        <v>442</v>
      </c>
      <c r="D6" s="456" t="s">
        <v>443</v>
      </c>
      <c r="E6" s="456" t="s">
        <v>444</v>
      </c>
      <c r="F6" s="455" t="s">
        <v>448</v>
      </c>
      <c r="G6" s="37" t="s">
        <v>125</v>
      </c>
      <c r="H6" s="37" t="s">
        <v>126</v>
      </c>
      <c r="I6" s="398" t="s">
        <v>131</v>
      </c>
      <c r="J6" s="73"/>
    </row>
    <row r="7" spans="1:11" ht="25.5" customHeight="1" x14ac:dyDescent="0.25">
      <c r="A7" s="21"/>
      <c r="B7" s="50" t="s">
        <v>152</v>
      </c>
      <c r="C7" s="465" t="s">
        <v>445</v>
      </c>
      <c r="D7" s="465" t="s">
        <v>446</v>
      </c>
      <c r="E7" s="465" t="s">
        <v>447</v>
      </c>
      <c r="F7" s="498" t="s">
        <v>450</v>
      </c>
      <c r="G7" s="50" t="s">
        <v>149</v>
      </c>
      <c r="H7" s="50" t="s">
        <v>148</v>
      </c>
      <c r="I7" s="50" t="s">
        <v>153</v>
      </c>
      <c r="J7" s="21"/>
    </row>
    <row r="8" spans="1:11" ht="30.75" customHeight="1" thickBot="1" x14ac:dyDescent="0.25">
      <c r="A8" s="61" t="s">
        <v>85</v>
      </c>
      <c r="B8" s="61" t="s">
        <v>139</v>
      </c>
      <c r="C8" s="463"/>
      <c r="D8" s="463"/>
      <c r="E8" s="463"/>
      <c r="F8" s="479" t="s">
        <v>449</v>
      </c>
      <c r="G8" s="61" t="s">
        <v>138</v>
      </c>
      <c r="H8" s="61" t="s">
        <v>138</v>
      </c>
      <c r="I8" s="61"/>
      <c r="J8" s="65" t="s">
        <v>26</v>
      </c>
    </row>
    <row r="9" spans="1:11" s="447" customFormat="1" ht="17.25" customHeight="1" thickTop="1" x14ac:dyDescent="0.2">
      <c r="A9" s="439" t="s">
        <v>30</v>
      </c>
      <c r="B9" s="456">
        <v>1</v>
      </c>
      <c r="C9" s="456">
        <v>0</v>
      </c>
      <c r="D9" s="456">
        <v>0</v>
      </c>
      <c r="E9" s="456">
        <v>0</v>
      </c>
      <c r="F9" s="456">
        <v>0</v>
      </c>
      <c r="G9" s="11">
        <v>221</v>
      </c>
      <c r="H9" s="11">
        <v>700</v>
      </c>
      <c r="I9" s="234">
        <v>281250</v>
      </c>
      <c r="J9" s="11" t="s">
        <v>31</v>
      </c>
    </row>
    <row r="10" spans="1:11" s="7" customFormat="1" ht="15.75" customHeight="1" x14ac:dyDescent="0.25">
      <c r="A10" s="438" t="s">
        <v>3</v>
      </c>
      <c r="B10" s="480">
        <v>1</v>
      </c>
      <c r="C10" s="480">
        <v>0</v>
      </c>
      <c r="D10" s="480">
        <v>0</v>
      </c>
      <c r="E10" s="480">
        <v>0</v>
      </c>
      <c r="F10" s="480">
        <v>5</v>
      </c>
      <c r="G10" s="88">
        <v>2471</v>
      </c>
      <c r="H10" s="88">
        <v>7004</v>
      </c>
      <c r="I10" s="89">
        <v>2112345</v>
      </c>
      <c r="J10" s="222" t="s">
        <v>15</v>
      </c>
    </row>
    <row r="11" spans="1:11" ht="14.1" customHeight="1" x14ac:dyDescent="0.25">
      <c r="A11" s="248" t="s">
        <v>4</v>
      </c>
      <c r="B11" s="433">
        <v>2</v>
      </c>
      <c r="C11" s="433">
        <v>0</v>
      </c>
      <c r="D11" s="433">
        <v>2</v>
      </c>
      <c r="E11" s="433">
        <v>1</v>
      </c>
      <c r="F11" s="433">
        <v>2</v>
      </c>
      <c r="G11" s="86">
        <v>4626</v>
      </c>
      <c r="H11" s="86">
        <v>3424</v>
      </c>
      <c r="I11" s="87">
        <v>1142329</v>
      </c>
      <c r="J11" s="17" t="s">
        <v>16</v>
      </c>
    </row>
    <row r="12" spans="1:11" ht="17.25" customHeight="1" x14ac:dyDescent="0.25">
      <c r="A12" s="218" t="s">
        <v>5</v>
      </c>
      <c r="B12" s="434">
        <v>0</v>
      </c>
      <c r="C12" s="434">
        <v>0</v>
      </c>
      <c r="D12" s="434">
        <v>0</v>
      </c>
      <c r="E12" s="434">
        <v>0</v>
      </c>
      <c r="F12" s="434">
        <v>1</v>
      </c>
      <c r="G12" s="90">
        <v>3387</v>
      </c>
      <c r="H12" s="90">
        <v>4134</v>
      </c>
      <c r="I12" s="214">
        <v>887436</v>
      </c>
      <c r="J12" s="59" t="s">
        <v>23</v>
      </c>
    </row>
    <row r="13" spans="1:11" ht="14.1" customHeight="1" x14ac:dyDescent="0.25">
      <c r="A13" s="377" t="s">
        <v>11</v>
      </c>
      <c r="B13" s="433">
        <v>0</v>
      </c>
      <c r="C13" s="433">
        <v>0</v>
      </c>
      <c r="D13" s="433">
        <v>0</v>
      </c>
      <c r="E13" s="433">
        <v>0</v>
      </c>
      <c r="F13" s="433">
        <v>1</v>
      </c>
      <c r="G13" s="86">
        <v>1023</v>
      </c>
      <c r="H13" s="86">
        <v>291</v>
      </c>
      <c r="I13" s="87">
        <v>78255</v>
      </c>
      <c r="J13" s="17" t="s">
        <v>21</v>
      </c>
    </row>
    <row r="14" spans="1:11" s="211" customFormat="1" ht="14.1" customHeight="1" x14ac:dyDescent="0.25">
      <c r="A14" s="505" t="s">
        <v>2</v>
      </c>
      <c r="B14" s="434">
        <v>0</v>
      </c>
      <c r="C14" s="434">
        <v>0</v>
      </c>
      <c r="D14" s="434">
        <v>0</v>
      </c>
      <c r="E14" s="434">
        <v>0</v>
      </c>
      <c r="F14" s="434">
        <v>1</v>
      </c>
      <c r="G14" s="90">
        <v>655</v>
      </c>
      <c r="H14" s="90">
        <v>863</v>
      </c>
      <c r="I14" s="214">
        <v>258912</v>
      </c>
      <c r="J14" s="752" t="s">
        <v>422</v>
      </c>
    </row>
    <row r="15" spans="1:11" s="447" customFormat="1" ht="14.1" customHeight="1" x14ac:dyDescent="0.25">
      <c r="A15" s="495" t="s">
        <v>7</v>
      </c>
      <c r="B15" s="433">
        <v>2</v>
      </c>
      <c r="C15" s="433">
        <v>1</v>
      </c>
      <c r="D15" s="433">
        <v>0</v>
      </c>
      <c r="E15" s="433">
        <v>0</v>
      </c>
      <c r="F15" s="433">
        <v>1</v>
      </c>
      <c r="G15" s="86">
        <v>847</v>
      </c>
      <c r="H15" s="86">
        <v>2040</v>
      </c>
      <c r="I15" s="87">
        <v>836487</v>
      </c>
      <c r="J15" s="17" t="s">
        <v>17</v>
      </c>
    </row>
    <row r="16" spans="1:11" s="211" customFormat="1" ht="14.1" customHeight="1" x14ac:dyDescent="0.25">
      <c r="A16" s="466" t="s">
        <v>8</v>
      </c>
      <c r="B16" s="434">
        <v>0</v>
      </c>
      <c r="C16" s="434">
        <v>0</v>
      </c>
      <c r="D16" s="434">
        <v>1</v>
      </c>
      <c r="E16" s="434">
        <v>0</v>
      </c>
      <c r="F16" s="434">
        <v>0</v>
      </c>
      <c r="G16" s="90">
        <v>117</v>
      </c>
      <c r="H16" s="90">
        <v>74</v>
      </c>
      <c r="I16" s="214">
        <v>22924</v>
      </c>
      <c r="J16" s="468" t="s">
        <v>18</v>
      </c>
    </row>
    <row r="17" spans="1:10" ht="14.1" customHeight="1" x14ac:dyDescent="0.25">
      <c r="A17" s="377" t="s">
        <v>10</v>
      </c>
      <c r="B17" s="433">
        <v>1</v>
      </c>
      <c r="C17" s="433">
        <v>0</v>
      </c>
      <c r="D17" s="433">
        <v>0</v>
      </c>
      <c r="E17" s="433">
        <v>0</v>
      </c>
      <c r="F17" s="433">
        <v>3</v>
      </c>
      <c r="G17" s="86">
        <v>1340</v>
      </c>
      <c r="H17" s="86">
        <v>904</v>
      </c>
      <c r="I17" s="87">
        <v>227180</v>
      </c>
      <c r="J17" s="17" t="s">
        <v>20</v>
      </c>
    </row>
    <row r="18" spans="1:10" s="211" customFormat="1" ht="14.1" customHeight="1" x14ac:dyDescent="0.25">
      <c r="A18" s="441" t="s">
        <v>12</v>
      </c>
      <c r="B18" s="434">
        <v>0</v>
      </c>
      <c r="C18" s="434">
        <v>0</v>
      </c>
      <c r="D18" s="434">
        <v>0</v>
      </c>
      <c r="E18" s="434">
        <v>0</v>
      </c>
      <c r="F18" s="434">
        <v>1</v>
      </c>
      <c r="G18" s="90">
        <v>126</v>
      </c>
      <c r="H18" s="90">
        <v>55</v>
      </c>
      <c r="I18" s="214">
        <v>57285</v>
      </c>
      <c r="J18" s="59" t="s">
        <v>25</v>
      </c>
    </row>
    <row r="19" spans="1:10" s="447" customFormat="1" ht="14.1" customHeight="1" thickBot="1" x14ac:dyDescent="0.3">
      <c r="A19" s="495" t="s">
        <v>13</v>
      </c>
      <c r="B19" s="433">
        <v>2</v>
      </c>
      <c r="C19" s="433">
        <v>0</v>
      </c>
      <c r="D19" s="433">
        <v>0</v>
      </c>
      <c r="E19" s="433">
        <v>0</v>
      </c>
      <c r="F19" s="433">
        <v>1</v>
      </c>
      <c r="G19" s="86">
        <v>2137</v>
      </c>
      <c r="H19" s="86">
        <v>1365</v>
      </c>
      <c r="I19" s="87">
        <v>563085</v>
      </c>
      <c r="J19" s="17" t="s">
        <v>22</v>
      </c>
    </row>
    <row r="20" spans="1:10" s="211" customFormat="1" ht="18" customHeight="1" thickBot="1" x14ac:dyDescent="0.25">
      <c r="A20" s="263" t="s">
        <v>0</v>
      </c>
      <c r="B20" s="761">
        <f t="shared" ref="B20:I20" si="0">SUM(B9:B19)</f>
        <v>9</v>
      </c>
      <c r="C20" s="761">
        <f t="shared" si="0"/>
        <v>1</v>
      </c>
      <c r="D20" s="761">
        <f t="shared" si="0"/>
        <v>3</v>
      </c>
      <c r="E20" s="761">
        <f t="shared" si="0"/>
        <v>1</v>
      </c>
      <c r="F20" s="761">
        <f t="shared" si="0"/>
        <v>16</v>
      </c>
      <c r="G20" s="762">
        <f t="shared" si="0"/>
        <v>16950</v>
      </c>
      <c r="H20" s="762">
        <f t="shared" si="0"/>
        <v>20854</v>
      </c>
      <c r="I20" s="762">
        <f t="shared" si="0"/>
        <v>6467488</v>
      </c>
      <c r="J20" s="264" t="s">
        <v>1</v>
      </c>
    </row>
    <row r="21" spans="1:10" ht="13.5" thickTop="1" x14ac:dyDescent="0.2">
      <c r="A21" s="849" t="s">
        <v>494</v>
      </c>
      <c r="B21" s="849"/>
      <c r="C21" s="849"/>
      <c r="D21" s="849"/>
      <c r="E21" s="849"/>
      <c r="F21" s="849"/>
      <c r="G21" s="849"/>
      <c r="H21" s="849"/>
      <c r="I21" s="849"/>
    </row>
    <row r="22" spans="1:10" s="7" customFormat="1" x14ac:dyDescent="0.2">
      <c r="A22" s="849"/>
      <c r="B22" s="849"/>
      <c r="C22" s="849"/>
      <c r="D22" s="849"/>
      <c r="E22" s="849"/>
      <c r="F22" s="849"/>
      <c r="G22" s="849"/>
      <c r="H22" s="849"/>
      <c r="I22" s="849"/>
    </row>
    <row r="23" spans="1:10" s="7" customFormat="1" x14ac:dyDescent="0.2">
      <c r="A23" s="849"/>
      <c r="B23" s="849"/>
      <c r="C23" s="849"/>
      <c r="D23" s="849"/>
      <c r="E23" s="849"/>
      <c r="F23" s="849"/>
      <c r="G23" s="849"/>
      <c r="H23" s="849"/>
    </row>
    <row r="24" spans="1:10" ht="15" x14ac:dyDescent="0.25">
      <c r="J24" s="62"/>
    </row>
  </sheetData>
  <mergeCells count="7">
    <mergeCell ref="A23:H23"/>
    <mergeCell ref="J4:K4"/>
    <mergeCell ref="A1:I1"/>
    <mergeCell ref="H5:I5"/>
    <mergeCell ref="A2:J3"/>
    <mergeCell ref="A22:I22"/>
    <mergeCell ref="A21:I21"/>
  </mergeCells>
  <phoneticPr fontId="3" type="noConversion"/>
  <printOptions horizontalCentered="1" verticalCentered="1"/>
  <pageMargins left="0.25" right="0.4" top="7.874015748031496E-2" bottom="0.98425196850393704" header="0.91" footer="0.51181102362204722"/>
  <pageSetup scale="97" orientation="landscape" verticalDpi="300" r:id="rId1"/>
  <headerFooter alignWithMargins="0">
    <oddFooter>&amp;C19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N16"/>
  <sheetViews>
    <sheetView rightToLeft="1" view="pageLayout" zoomScaleSheetLayoutView="100" workbookViewId="0">
      <selection sqref="A1:G1"/>
    </sheetView>
  </sheetViews>
  <sheetFormatPr defaultRowHeight="12.75" x14ac:dyDescent="0.2"/>
  <cols>
    <col min="1" max="1" width="11.140625" customWidth="1"/>
    <col min="2" max="2" width="12.5703125" customWidth="1"/>
    <col min="3" max="3" width="9.85546875" style="7" customWidth="1"/>
    <col min="4" max="4" width="20.85546875" style="7" customWidth="1"/>
    <col min="5" max="5" width="18.85546875" customWidth="1"/>
    <col min="6" max="6" width="15.140625" customWidth="1"/>
    <col min="7" max="7" width="15.28515625" customWidth="1"/>
    <col min="8" max="8" width="0.5703125" hidden="1" customWidth="1"/>
    <col min="9" max="9" width="0.85546875" hidden="1" customWidth="1"/>
    <col min="10" max="10" width="4.7109375" hidden="1" customWidth="1"/>
    <col min="11" max="11" width="0" hidden="1" customWidth="1"/>
  </cols>
  <sheetData>
    <row r="1" spans="1:14" ht="15" x14ac:dyDescent="0.2">
      <c r="A1" s="821" t="s">
        <v>415</v>
      </c>
      <c r="B1" s="821"/>
      <c r="C1" s="821"/>
      <c r="D1" s="821"/>
      <c r="E1" s="821"/>
      <c r="F1" s="821"/>
      <c r="G1" s="821"/>
      <c r="L1" s="211"/>
      <c r="M1" s="211"/>
      <c r="N1" s="211"/>
    </row>
    <row r="2" spans="1:14" ht="15" customHeight="1" x14ac:dyDescent="0.2">
      <c r="A2" s="829" t="s">
        <v>416</v>
      </c>
      <c r="B2" s="829"/>
      <c r="C2" s="829"/>
      <c r="D2" s="829"/>
      <c r="E2" s="829"/>
      <c r="F2" s="829"/>
      <c r="G2" s="829"/>
      <c r="L2" s="211"/>
      <c r="M2" s="211"/>
      <c r="N2" s="211"/>
    </row>
    <row r="3" spans="1:14" ht="15" customHeight="1" x14ac:dyDescent="0.2">
      <c r="A3" s="829"/>
      <c r="B3" s="829"/>
      <c r="C3" s="829"/>
      <c r="D3" s="829"/>
      <c r="E3" s="829"/>
      <c r="F3" s="829"/>
      <c r="G3" s="829"/>
      <c r="L3" s="211"/>
      <c r="M3" s="211"/>
      <c r="N3" s="211"/>
    </row>
    <row r="4" spans="1:14" s="7" customFormat="1" ht="15" customHeight="1" x14ac:dyDescent="0.2">
      <c r="A4" s="318"/>
      <c r="B4" s="318"/>
      <c r="C4" s="459"/>
      <c r="D4" s="459"/>
      <c r="E4" s="318"/>
      <c r="F4" s="318"/>
      <c r="G4" s="329" t="s">
        <v>223</v>
      </c>
      <c r="L4" s="211"/>
      <c r="M4" s="211"/>
      <c r="N4" s="211"/>
    </row>
    <row r="5" spans="1:14" ht="15" customHeight="1" thickBot="1" x14ac:dyDescent="0.25">
      <c r="A5" s="71" t="s">
        <v>128</v>
      </c>
      <c r="B5" s="391" t="s">
        <v>329</v>
      </c>
      <c r="C5" s="461"/>
      <c r="D5" s="461"/>
      <c r="E5" s="851" t="s">
        <v>344</v>
      </c>
      <c r="F5" s="851"/>
      <c r="G5" s="69" t="s">
        <v>129</v>
      </c>
      <c r="L5" s="211"/>
      <c r="M5" s="211"/>
      <c r="N5" s="211"/>
    </row>
    <row r="6" spans="1:14" ht="15" customHeight="1" x14ac:dyDescent="0.25">
      <c r="A6" s="45"/>
      <c r="B6" s="37" t="s">
        <v>112</v>
      </c>
      <c r="C6" s="455" t="s">
        <v>442</v>
      </c>
      <c r="D6" s="455" t="s">
        <v>451</v>
      </c>
      <c r="E6" s="37" t="s">
        <v>126</v>
      </c>
      <c r="F6" s="37" t="s">
        <v>131</v>
      </c>
      <c r="G6" s="45"/>
      <c r="L6" s="211"/>
      <c r="M6" s="211"/>
      <c r="N6" s="211"/>
    </row>
    <row r="7" spans="1:14" ht="27.75" customHeight="1" x14ac:dyDescent="0.25">
      <c r="A7" s="75"/>
      <c r="B7" s="50" t="s">
        <v>151</v>
      </c>
      <c r="C7" s="465"/>
      <c r="D7" s="465" t="s">
        <v>450</v>
      </c>
      <c r="E7" s="50" t="s">
        <v>148</v>
      </c>
      <c r="F7" s="50" t="s">
        <v>145</v>
      </c>
      <c r="G7" s="75"/>
      <c r="L7" s="211"/>
      <c r="M7" s="211"/>
      <c r="N7" s="211"/>
    </row>
    <row r="8" spans="1:14" ht="15" customHeight="1" thickBot="1" x14ac:dyDescent="0.25">
      <c r="A8" s="262" t="s">
        <v>52</v>
      </c>
      <c r="B8" s="61" t="s">
        <v>139</v>
      </c>
      <c r="C8" s="463" t="s">
        <v>139</v>
      </c>
      <c r="D8" s="479" t="s">
        <v>449</v>
      </c>
      <c r="E8" s="479" t="s">
        <v>138</v>
      </c>
      <c r="F8" s="61"/>
      <c r="G8" s="262" t="s">
        <v>26</v>
      </c>
      <c r="K8" s="7"/>
      <c r="L8" s="211"/>
      <c r="M8" s="211"/>
      <c r="N8" s="211"/>
    </row>
    <row r="9" spans="1:14" s="7" customFormat="1" ht="15" customHeight="1" thickTop="1" x14ac:dyDescent="0.2">
      <c r="A9" s="42" t="s">
        <v>395</v>
      </c>
      <c r="B9" s="467">
        <v>1</v>
      </c>
      <c r="C9" s="467">
        <v>0</v>
      </c>
      <c r="D9" s="458">
        <v>0</v>
      </c>
      <c r="E9" s="458">
        <v>8</v>
      </c>
      <c r="F9" s="92">
        <v>1161</v>
      </c>
      <c r="G9" s="42" t="s">
        <v>397</v>
      </c>
      <c r="L9" s="211"/>
      <c r="M9" s="211"/>
      <c r="N9" s="211"/>
    </row>
    <row r="10" spans="1:14" s="447" customFormat="1" ht="16.5" customHeight="1" x14ac:dyDescent="0.25">
      <c r="A10" s="439" t="s">
        <v>375</v>
      </c>
      <c r="B10" s="234">
        <v>0</v>
      </c>
      <c r="C10" s="234">
        <v>1</v>
      </c>
      <c r="D10" s="481">
        <v>0</v>
      </c>
      <c r="E10" s="481">
        <v>121</v>
      </c>
      <c r="F10" s="87">
        <v>26800</v>
      </c>
      <c r="G10" s="57" t="s">
        <v>15</v>
      </c>
      <c r="L10" s="211"/>
      <c r="M10" s="211"/>
      <c r="N10" s="211"/>
    </row>
    <row r="11" spans="1:14" s="211" customFormat="1" ht="16.5" customHeight="1" x14ac:dyDescent="0.25">
      <c r="A11" s="466" t="s">
        <v>4</v>
      </c>
      <c r="B11" s="482">
        <v>1</v>
      </c>
      <c r="C11" s="482">
        <v>0</v>
      </c>
      <c r="D11" s="483">
        <v>0</v>
      </c>
      <c r="E11" s="483">
        <v>21</v>
      </c>
      <c r="F11" s="214">
        <v>7455</v>
      </c>
      <c r="G11" s="59" t="s">
        <v>16</v>
      </c>
    </row>
    <row r="12" spans="1:14" s="447" customFormat="1" ht="16.5" customHeight="1" thickBot="1" x14ac:dyDescent="0.3">
      <c r="A12" s="439" t="s">
        <v>11</v>
      </c>
      <c r="B12" s="234">
        <v>0</v>
      </c>
      <c r="C12" s="234">
        <v>0</v>
      </c>
      <c r="D12" s="481">
        <v>1</v>
      </c>
      <c r="E12" s="481">
        <v>85</v>
      </c>
      <c r="F12" s="87">
        <v>29120</v>
      </c>
      <c r="G12" s="74" t="s">
        <v>21</v>
      </c>
      <c r="L12" s="211"/>
      <c r="M12" s="211"/>
      <c r="N12" s="211"/>
    </row>
    <row r="13" spans="1:14" s="211" customFormat="1" ht="18.75" customHeight="1" thickBot="1" x14ac:dyDescent="0.25">
      <c r="A13" s="259" t="s">
        <v>0</v>
      </c>
      <c r="B13" s="539">
        <f>SUM(B9:B12)</f>
        <v>2</v>
      </c>
      <c r="C13" s="539">
        <f>SUM(C9:C12)</f>
        <v>1</v>
      </c>
      <c r="D13" s="540">
        <f>SUM(D9:D12)</f>
        <v>1</v>
      </c>
      <c r="E13" s="540">
        <f>SUM(E9:E12)</f>
        <v>235</v>
      </c>
      <c r="F13" s="539">
        <f>SUM(F9:F12)</f>
        <v>64536</v>
      </c>
      <c r="G13" s="541" t="s">
        <v>1</v>
      </c>
    </row>
    <row r="14" spans="1:14" ht="13.5" thickTop="1" x14ac:dyDescent="0.2">
      <c r="A14" s="15"/>
      <c r="B14" s="758"/>
      <c r="C14" s="758"/>
      <c r="D14" s="758"/>
      <c r="E14" s="758"/>
      <c r="F14" s="758"/>
      <c r="G14" s="758"/>
      <c r="H14" s="758"/>
    </row>
    <row r="15" spans="1:14" ht="15.75" customHeight="1" x14ac:dyDescent="0.2">
      <c r="A15" s="758" t="s">
        <v>495</v>
      </c>
      <c r="B15" s="758"/>
      <c r="C15" s="758"/>
      <c r="D15" s="758"/>
      <c r="E15" s="758"/>
      <c r="F15" s="758"/>
      <c r="G15" s="758"/>
      <c r="H15" s="7"/>
    </row>
    <row r="16" spans="1:14" x14ac:dyDescent="0.2">
      <c r="B16" s="8"/>
      <c r="C16" s="8"/>
      <c r="D16" s="8"/>
    </row>
  </sheetData>
  <mergeCells count="3">
    <mergeCell ref="A1:G1"/>
    <mergeCell ref="A2:G3"/>
    <mergeCell ref="E5:F5"/>
  </mergeCells>
  <phoneticPr fontId="3" type="noConversion"/>
  <printOptions horizontalCentered="1" verticalCentered="1"/>
  <pageMargins left="0.16" right="1.56" top="1.0374015750000001" bottom="0.98425196850393704" header="0.78740157480314998" footer="0.511811023622047"/>
  <pageSetup orientation="landscape" verticalDpi="300" r:id="rId1"/>
  <headerFooter alignWithMargins="0">
    <oddFooter>&amp;C20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23"/>
  <sheetViews>
    <sheetView rightToLeft="1" view="pageLayout" topLeftCell="B1" zoomScale="90" zoomScaleSheetLayoutView="100" zoomScalePageLayoutView="90" workbookViewId="0">
      <selection activeCell="L9" sqref="L9"/>
    </sheetView>
  </sheetViews>
  <sheetFormatPr defaultRowHeight="12.75" x14ac:dyDescent="0.2"/>
  <cols>
    <col min="1" max="1" width="2" customWidth="1"/>
    <col min="2" max="2" width="14.28515625" customWidth="1"/>
    <col min="3" max="3" width="16.28515625" customWidth="1"/>
    <col min="4" max="4" width="13.7109375" style="7" customWidth="1"/>
    <col min="5" max="5" width="17.42578125" style="7" customWidth="1"/>
    <col min="6" max="6" width="14" customWidth="1"/>
    <col min="7" max="8" width="16.28515625" customWidth="1"/>
    <col min="9" max="9" width="18.85546875" customWidth="1"/>
  </cols>
  <sheetData>
    <row r="1" spans="1:15" ht="15" customHeight="1" x14ac:dyDescent="0.2">
      <c r="A1" s="2"/>
      <c r="B1" s="854" t="s">
        <v>417</v>
      </c>
      <c r="C1" s="854"/>
      <c r="D1" s="854"/>
      <c r="E1" s="854"/>
      <c r="F1" s="854"/>
      <c r="G1" s="854"/>
      <c r="H1" s="854"/>
      <c r="I1" s="375"/>
      <c r="J1" s="211"/>
      <c r="K1" s="211"/>
      <c r="L1" s="211"/>
      <c r="M1" s="211"/>
    </row>
    <row r="2" spans="1:15" ht="17.25" customHeight="1" x14ac:dyDescent="0.2">
      <c r="A2" s="2"/>
      <c r="B2" s="852" t="s">
        <v>418</v>
      </c>
      <c r="C2" s="852"/>
      <c r="D2" s="852"/>
      <c r="E2" s="852"/>
      <c r="F2" s="852"/>
      <c r="G2" s="852"/>
      <c r="H2" s="852"/>
      <c r="I2" s="852"/>
      <c r="J2" s="211"/>
      <c r="K2" s="211"/>
      <c r="L2" s="211"/>
      <c r="M2" s="211"/>
    </row>
    <row r="3" spans="1:15" ht="11.25" customHeight="1" x14ac:dyDescent="0.2">
      <c r="A3" s="2"/>
      <c r="B3" s="852"/>
      <c r="C3" s="852"/>
      <c r="D3" s="852"/>
      <c r="E3" s="852"/>
      <c r="F3" s="852"/>
      <c r="G3" s="852"/>
      <c r="H3" s="852"/>
      <c r="I3" s="852"/>
      <c r="J3" s="211"/>
      <c r="K3" s="211"/>
      <c r="L3" s="211"/>
      <c r="M3" s="211"/>
    </row>
    <row r="4" spans="1:15" s="7" customFormat="1" ht="11.25" customHeight="1" x14ac:dyDescent="0.2">
      <c r="A4" s="2"/>
      <c r="B4" s="350"/>
      <c r="C4" s="350"/>
      <c r="D4" s="462"/>
      <c r="E4" s="462"/>
      <c r="F4" s="350"/>
      <c r="G4" s="350"/>
      <c r="H4" s="350"/>
      <c r="I4" s="855" t="s">
        <v>223</v>
      </c>
      <c r="J4" s="211"/>
      <c r="K4" s="211"/>
      <c r="L4" s="211"/>
      <c r="M4" s="211"/>
    </row>
    <row r="5" spans="1:15" s="7" customFormat="1" ht="11.25" customHeight="1" x14ac:dyDescent="0.2">
      <c r="A5" s="2"/>
      <c r="B5" s="350"/>
      <c r="C5" s="350"/>
      <c r="D5" s="462"/>
      <c r="E5" s="462"/>
      <c r="F5" s="350"/>
      <c r="G5" s="350"/>
      <c r="H5" s="350"/>
      <c r="I5" s="855"/>
      <c r="J5" s="211"/>
      <c r="K5" s="211"/>
      <c r="L5" s="211"/>
      <c r="M5" s="211"/>
    </row>
    <row r="6" spans="1:15" ht="27" customHeight="1" thickBot="1" x14ac:dyDescent="0.25">
      <c r="A6" s="2"/>
      <c r="B6" s="351" t="s">
        <v>475</v>
      </c>
      <c r="C6" s="351" t="s">
        <v>156</v>
      </c>
      <c r="D6" s="351"/>
      <c r="E6" s="351"/>
      <c r="F6" s="351"/>
      <c r="G6" s="853" t="s">
        <v>159</v>
      </c>
      <c r="H6" s="853"/>
      <c r="I6" s="351" t="s">
        <v>120</v>
      </c>
      <c r="J6" s="211"/>
      <c r="K6" s="211"/>
      <c r="L6" s="211"/>
      <c r="M6" s="211"/>
    </row>
    <row r="7" spans="1:15" ht="31.5" customHeight="1" x14ac:dyDescent="0.25">
      <c r="A7" s="2"/>
      <c r="B7" s="352"/>
      <c r="C7" s="352" t="s">
        <v>372</v>
      </c>
      <c r="D7" s="352" t="s">
        <v>452</v>
      </c>
      <c r="E7" s="352" t="s">
        <v>455</v>
      </c>
      <c r="F7" s="352" t="s">
        <v>208</v>
      </c>
      <c r="G7" s="352" t="s">
        <v>86</v>
      </c>
      <c r="H7" s="352" t="s">
        <v>133</v>
      </c>
      <c r="I7" s="353"/>
      <c r="J7" s="211"/>
      <c r="K7" s="211"/>
      <c r="L7" s="211"/>
      <c r="M7" s="211"/>
    </row>
    <row r="8" spans="1:15" ht="24.75" customHeight="1" x14ac:dyDescent="0.25">
      <c r="A8" s="2"/>
      <c r="B8" s="354"/>
      <c r="C8" s="369" t="s">
        <v>453</v>
      </c>
      <c r="D8" s="355" t="s">
        <v>454</v>
      </c>
      <c r="E8" s="355" t="s">
        <v>456</v>
      </c>
      <c r="F8" s="356" t="s">
        <v>149</v>
      </c>
      <c r="G8" s="356" t="s">
        <v>148</v>
      </c>
      <c r="H8" s="356" t="s">
        <v>145</v>
      </c>
      <c r="I8" s="357"/>
      <c r="J8" s="211"/>
      <c r="K8" s="211"/>
      <c r="L8" s="211"/>
      <c r="M8" s="211"/>
    </row>
    <row r="9" spans="1:15" ht="19.5" customHeight="1" thickBot="1" x14ac:dyDescent="0.3">
      <c r="A9" s="2"/>
      <c r="B9" s="358" t="s">
        <v>54</v>
      </c>
      <c r="C9" s="359" t="s">
        <v>139</v>
      </c>
      <c r="D9" s="359" t="s">
        <v>139</v>
      </c>
      <c r="E9" s="359" t="s">
        <v>139</v>
      </c>
      <c r="F9" s="358" t="s">
        <v>138</v>
      </c>
      <c r="G9" s="358" t="s">
        <v>138</v>
      </c>
      <c r="H9" s="358"/>
      <c r="I9" s="360" t="s">
        <v>26</v>
      </c>
      <c r="J9" s="211"/>
      <c r="K9" s="211"/>
      <c r="L9" s="211"/>
      <c r="M9" s="211"/>
    </row>
    <row r="10" spans="1:15" s="7" customFormat="1" ht="19.5" customHeight="1" thickTop="1" x14ac:dyDescent="0.25">
      <c r="A10" s="2"/>
      <c r="B10" s="356" t="s">
        <v>395</v>
      </c>
      <c r="C10" s="443">
        <v>0</v>
      </c>
      <c r="D10" s="443">
        <v>2</v>
      </c>
      <c r="E10" s="443">
        <v>0</v>
      </c>
      <c r="F10" s="368">
        <v>952</v>
      </c>
      <c r="G10" s="368">
        <v>1270</v>
      </c>
      <c r="H10" s="484">
        <v>407073</v>
      </c>
      <c r="I10" s="444" t="s">
        <v>397</v>
      </c>
      <c r="J10" s="211"/>
      <c r="K10" s="211"/>
      <c r="L10" s="211"/>
      <c r="M10" s="211"/>
    </row>
    <row r="11" spans="1:15" ht="19.5" customHeight="1" x14ac:dyDescent="0.25">
      <c r="A11" s="2"/>
      <c r="B11" s="352" t="s">
        <v>373</v>
      </c>
      <c r="C11" s="361">
        <v>0</v>
      </c>
      <c r="D11" s="361">
        <v>0</v>
      </c>
      <c r="E11" s="361">
        <v>1</v>
      </c>
      <c r="F11" s="362">
        <v>452</v>
      </c>
      <c r="G11" s="362">
        <v>79</v>
      </c>
      <c r="H11" s="363">
        <v>15750</v>
      </c>
      <c r="I11" s="364" t="s">
        <v>31</v>
      </c>
      <c r="J11" s="211"/>
      <c r="K11" s="211"/>
      <c r="L11" s="211"/>
      <c r="M11" s="211"/>
      <c r="N11" s="211"/>
      <c r="O11" s="211"/>
    </row>
    <row r="12" spans="1:15" ht="18" customHeight="1" x14ac:dyDescent="0.25">
      <c r="A12" s="2"/>
      <c r="B12" s="356" t="s">
        <v>3</v>
      </c>
      <c r="C12" s="365">
        <v>1</v>
      </c>
      <c r="D12" s="365">
        <v>1</v>
      </c>
      <c r="E12" s="365">
        <v>0</v>
      </c>
      <c r="F12" s="366">
        <v>734</v>
      </c>
      <c r="G12" s="366">
        <v>651</v>
      </c>
      <c r="H12" s="367">
        <v>178200</v>
      </c>
      <c r="I12" s="368" t="s">
        <v>15</v>
      </c>
      <c r="J12" s="211"/>
      <c r="K12" s="211"/>
      <c r="L12" s="211"/>
      <c r="M12" s="211"/>
      <c r="N12" s="211"/>
      <c r="O12" s="211"/>
    </row>
    <row r="13" spans="1:15" s="447" customFormat="1" ht="18" customHeight="1" x14ac:dyDescent="0.25">
      <c r="A13" s="542"/>
      <c r="B13" s="352" t="s">
        <v>381</v>
      </c>
      <c r="C13" s="361">
        <v>0</v>
      </c>
      <c r="D13" s="361">
        <v>1</v>
      </c>
      <c r="E13" s="361">
        <v>0</v>
      </c>
      <c r="F13" s="362">
        <v>347</v>
      </c>
      <c r="G13" s="362">
        <v>469</v>
      </c>
      <c r="H13" s="363">
        <v>140832</v>
      </c>
      <c r="I13" s="316" t="s">
        <v>371</v>
      </c>
      <c r="J13" s="211"/>
      <c r="K13" s="211"/>
      <c r="L13" s="211"/>
      <c r="M13" s="211"/>
      <c r="N13" s="211"/>
      <c r="O13" s="211"/>
    </row>
    <row r="14" spans="1:15" s="211" customFormat="1" ht="15" customHeight="1" x14ac:dyDescent="0.25">
      <c r="A14" s="451"/>
      <c r="B14" s="369" t="s">
        <v>4</v>
      </c>
      <c r="C14" s="370">
        <v>2</v>
      </c>
      <c r="D14" s="370">
        <v>0</v>
      </c>
      <c r="E14" s="370">
        <v>1</v>
      </c>
      <c r="F14" s="371">
        <v>6838</v>
      </c>
      <c r="G14" s="371">
        <v>4527</v>
      </c>
      <c r="H14" s="372">
        <v>2050100</v>
      </c>
      <c r="I14" s="373" t="s">
        <v>16</v>
      </c>
    </row>
    <row r="15" spans="1:15" s="447" customFormat="1" ht="15" customHeight="1" x14ac:dyDescent="0.25">
      <c r="A15" s="542"/>
      <c r="B15" s="352" t="s">
        <v>5</v>
      </c>
      <c r="C15" s="361">
        <v>0</v>
      </c>
      <c r="D15" s="361">
        <v>1</v>
      </c>
      <c r="E15" s="361">
        <v>0</v>
      </c>
      <c r="F15" s="362">
        <v>387</v>
      </c>
      <c r="G15" s="362">
        <v>162</v>
      </c>
      <c r="H15" s="363">
        <v>64812</v>
      </c>
      <c r="I15" s="364" t="s">
        <v>23</v>
      </c>
      <c r="J15" s="211"/>
      <c r="K15" s="211"/>
      <c r="L15" s="211"/>
      <c r="M15" s="211"/>
      <c r="N15" s="211"/>
      <c r="O15" s="211"/>
    </row>
    <row r="16" spans="1:15" s="211" customFormat="1" ht="17.25" customHeight="1" x14ac:dyDescent="0.25">
      <c r="A16" s="451"/>
      <c r="B16" s="369" t="s">
        <v>6</v>
      </c>
      <c r="C16" s="370">
        <v>0</v>
      </c>
      <c r="D16" s="370">
        <v>0</v>
      </c>
      <c r="E16" s="370">
        <v>1</v>
      </c>
      <c r="F16" s="371">
        <v>48</v>
      </c>
      <c r="G16" s="371">
        <v>72</v>
      </c>
      <c r="H16" s="372">
        <v>13536</v>
      </c>
      <c r="I16" s="373" t="s">
        <v>24</v>
      </c>
    </row>
    <row r="17" spans="1:15" s="447" customFormat="1" ht="15" customHeight="1" x14ac:dyDescent="0.25">
      <c r="A17" s="542"/>
      <c r="B17" s="352" t="s">
        <v>374</v>
      </c>
      <c r="C17" s="361">
        <v>0</v>
      </c>
      <c r="D17" s="361">
        <v>0</v>
      </c>
      <c r="E17" s="361">
        <v>1</v>
      </c>
      <c r="F17" s="362">
        <v>95</v>
      </c>
      <c r="G17" s="362">
        <v>39</v>
      </c>
      <c r="H17" s="363">
        <v>14430</v>
      </c>
      <c r="I17" s="364" t="s">
        <v>21</v>
      </c>
      <c r="J17" s="211"/>
      <c r="K17" s="211"/>
      <c r="L17" s="211"/>
      <c r="M17" s="211"/>
      <c r="N17" s="211"/>
      <c r="O17" s="211"/>
    </row>
    <row r="18" spans="1:15" s="211" customFormat="1" ht="18.75" customHeight="1" x14ac:dyDescent="0.25">
      <c r="A18" s="451"/>
      <c r="B18" s="369" t="s">
        <v>10</v>
      </c>
      <c r="C18" s="370">
        <v>1</v>
      </c>
      <c r="D18" s="370">
        <v>0</v>
      </c>
      <c r="E18" s="370">
        <v>0</v>
      </c>
      <c r="F18" s="371">
        <v>81</v>
      </c>
      <c r="G18" s="371">
        <v>207</v>
      </c>
      <c r="H18" s="372">
        <v>51800</v>
      </c>
      <c r="I18" s="373" t="s">
        <v>20</v>
      </c>
    </row>
    <row r="19" spans="1:15" ht="18" customHeight="1" thickBot="1" x14ac:dyDescent="0.3">
      <c r="A19" s="2"/>
      <c r="B19" s="352" t="s">
        <v>13</v>
      </c>
      <c r="C19" s="361">
        <v>2</v>
      </c>
      <c r="D19" s="361">
        <v>3</v>
      </c>
      <c r="E19" s="361">
        <v>0</v>
      </c>
      <c r="F19" s="362">
        <v>8806</v>
      </c>
      <c r="G19" s="362">
        <v>3660</v>
      </c>
      <c r="H19" s="363">
        <v>1310769</v>
      </c>
      <c r="I19" s="364" t="s">
        <v>22</v>
      </c>
      <c r="J19" s="211"/>
      <c r="K19" s="211"/>
      <c r="L19" s="211"/>
      <c r="M19" s="211"/>
    </row>
    <row r="20" spans="1:15" ht="19.5" customHeight="1" thickBot="1" x14ac:dyDescent="0.25">
      <c r="A20" s="2"/>
      <c r="B20" s="259" t="s">
        <v>0</v>
      </c>
      <c r="C20" s="260">
        <f t="shared" ref="C20:H20" si="0">SUM(C10:C19)</f>
        <v>6</v>
      </c>
      <c r="D20" s="260">
        <f t="shared" si="0"/>
        <v>8</v>
      </c>
      <c r="E20" s="260">
        <f t="shared" si="0"/>
        <v>4</v>
      </c>
      <c r="F20" s="260">
        <f t="shared" si="0"/>
        <v>18740</v>
      </c>
      <c r="G20" s="260">
        <f t="shared" si="0"/>
        <v>11136</v>
      </c>
      <c r="H20" s="260">
        <f t="shared" si="0"/>
        <v>4247302</v>
      </c>
      <c r="I20" s="261" t="s">
        <v>1</v>
      </c>
      <c r="J20" s="211"/>
      <c r="K20" s="211"/>
      <c r="L20" s="211"/>
      <c r="M20" s="211"/>
    </row>
    <row r="21" spans="1:15" ht="16.5" thickTop="1" x14ac:dyDescent="0.25">
      <c r="B21" s="15" t="s">
        <v>496</v>
      </c>
      <c r="C21" s="15"/>
      <c r="D21" s="15"/>
      <c r="E21" s="15"/>
      <c r="F21" s="374"/>
      <c r="G21" s="374"/>
      <c r="H21" s="357"/>
      <c r="I21" s="357"/>
    </row>
    <row r="22" spans="1:15" ht="15.75" x14ac:dyDescent="0.25">
      <c r="B22" s="856"/>
      <c r="C22" s="856"/>
      <c r="D22" s="856"/>
      <c r="E22" s="856"/>
      <c r="F22" s="856"/>
      <c r="G22" s="856"/>
      <c r="H22" s="357"/>
      <c r="I22" s="357"/>
    </row>
    <row r="23" spans="1:15" ht="15" x14ac:dyDescent="0.25">
      <c r="I23" s="62"/>
    </row>
  </sheetData>
  <mergeCells count="5">
    <mergeCell ref="B2:I3"/>
    <mergeCell ref="G6:H6"/>
    <mergeCell ref="B1:H1"/>
    <mergeCell ref="I4:I5"/>
    <mergeCell ref="B22:G22"/>
  </mergeCells>
  <phoneticPr fontId="3" type="noConversion"/>
  <printOptions horizontalCentered="1" verticalCentered="1"/>
  <pageMargins left="0.15748031496063" right="1.21" top="1.0374015750000001" bottom="0.98425196850393704" header="0.78740157480314998" footer="0.511811023622047"/>
  <pageSetup scale="81" orientation="landscape" verticalDpi="300" r:id="rId1"/>
  <headerFooter alignWithMargins="0">
    <oddFooter>&amp;C21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F17"/>
  <sheetViews>
    <sheetView rightToLeft="1" view="pageLayout" topLeftCell="B1" zoomScaleSheetLayoutView="100" workbookViewId="0">
      <selection activeCell="D24" sqref="D24"/>
    </sheetView>
  </sheetViews>
  <sheetFormatPr defaultRowHeight="12.75" x14ac:dyDescent="0.2"/>
  <cols>
    <col min="1" max="1" width="0.42578125" customWidth="1"/>
    <col min="2" max="2" width="19" customWidth="1"/>
    <col min="3" max="3" width="18.28515625" customWidth="1"/>
    <col min="4" max="4" width="15.28515625" customWidth="1"/>
    <col min="5" max="5" width="16" customWidth="1"/>
    <col min="6" max="6" width="20.85546875" customWidth="1"/>
  </cols>
  <sheetData>
    <row r="1" spans="1:6" ht="21" customHeight="1" x14ac:dyDescent="0.25">
      <c r="A1" s="21"/>
      <c r="B1" s="821" t="s">
        <v>419</v>
      </c>
      <c r="C1" s="821"/>
      <c r="D1" s="821"/>
      <c r="E1" s="821"/>
      <c r="F1" s="821"/>
    </row>
    <row r="2" spans="1:6" ht="15" customHeight="1" x14ac:dyDescent="0.25">
      <c r="A2" s="21"/>
      <c r="B2" s="829" t="s">
        <v>420</v>
      </c>
      <c r="C2" s="829"/>
      <c r="D2" s="829"/>
      <c r="E2" s="829"/>
      <c r="F2" s="829"/>
    </row>
    <row r="3" spans="1:6" ht="15" x14ac:dyDescent="0.25">
      <c r="A3" s="21"/>
      <c r="B3" s="829"/>
      <c r="C3" s="829"/>
      <c r="D3" s="829"/>
      <c r="E3" s="829"/>
      <c r="F3" s="829"/>
    </row>
    <row r="4" spans="1:6" s="7" customFormat="1" ht="15" x14ac:dyDescent="0.25">
      <c r="A4" s="21"/>
      <c r="B4" s="821"/>
      <c r="C4" s="821"/>
      <c r="D4" s="821"/>
      <c r="E4" s="821"/>
      <c r="F4" s="821" t="s">
        <v>223</v>
      </c>
    </row>
    <row r="5" spans="1:6" ht="21" customHeight="1" thickBot="1" x14ac:dyDescent="0.3">
      <c r="A5" s="21"/>
      <c r="B5" s="70" t="s">
        <v>121</v>
      </c>
      <c r="C5" s="27" t="s">
        <v>328</v>
      </c>
      <c r="D5" s="858" t="s">
        <v>344</v>
      </c>
      <c r="E5" s="858"/>
      <c r="F5" s="67" t="s">
        <v>122</v>
      </c>
    </row>
    <row r="6" spans="1:6" ht="15" customHeight="1" x14ac:dyDescent="0.25">
      <c r="A6" s="21"/>
      <c r="B6" s="37"/>
      <c r="C6" s="29" t="s">
        <v>372</v>
      </c>
      <c r="D6" s="29" t="s">
        <v>86</v>
      </c>
      <c r="E6" s="29" t="s">
        <v>134</v>
      </c>
      <c r="F6" s="37"/>
    </row>
    <row r="7" spans="1:6" ht="15" customHeight="1" x14ac:dyDescent="0.25">
      <c r="A7" s="21"/>
      <c r="B7" s="21"/>
      <c r="C7" s="50"/>
      <c r="D7" s="50" t="s">
        <v>148</v>
      </c>
      <c r="E7" s="50" t="s">
        <v>145</v>
      </c>
      <c r="F7" s="21"/>
    </row>
    <row r="8" spans="1:6" ht="15" customHeight="1" thickBot="1" x14ac:dyDescent="0.3">
      <c r="A8" s="857" t="s">
        <v>150</v>
      </c>
      <c r="B8" s="857"/>
      <c r="C8" s="77" t="s">
        <v>138</v>
      </c>
      <c r="D8" s="77" t="s">
        <v>138</v>
      </c>
      <c r="E8" s="61" t="s">
        <v>137</v>
      </c>
      <c r="F8" s="46" t="s">
        <v>26</v>
      </c>
    </row>
    <row r="9" spans="1:6" ht="15" customHeight="1" thickTop="1" x14ac:dyDescent="0.25">
      <c r="A9" s="21"/>
      <c r="B9" s="50" t="s">
        <v>4</v>
      </c>
      <c r="C9" s="92">
        <v>2</v>
      </c>
      <c r="D9" s="90">
        <v>3986</v>
      </c>
      <c r="E9" s="88">
        <v>1594430</v>
      </c>
      <c r="F9" s="38" t="s">
        <v>16</v>
      </c>
    </row>
    <row r="10" spans="1:6" ht="15" customHeight="1" x14ac:dyDescent="0.25">
      <c r="A10" s="21"/>
      <c r="B10" s="37" t="s">
        <v>5</v>
      </c>
      <c r="C10" s="91">
        <v>1</v>
      </c>
      <c r="D10" s="86">
        <v>27</v>
      </c>
      <c r="E10" s="86">
        <v>6682</v>
      </c>
      <c r="F10" s="11" t="s">
        <v>23</v>
      </c>
    </row>
    <row r="11" spans="1:6" ht="15" customHeight="1" x14ac:dyDescent="0.25">
      <c r="A11" s="21"/>
      <c r="B11" s="50" t="s">
        <v>374</v>
      </c>
      <c r="C11" s="92">
        <v>1</v>
      </c>
      <c r="D11" s="90">
        <v>73</v>
      </c>
      <c r="E11" s="88">
        <v>22288</v>
      </c>
      <c r="F11" s="38" t="s">
        <v>21</v>
      </c>
    </row>
    <row r="12" spans="1:6" ht="15" customHeight="1" thickBot="1" x14ac:dyDescent="0.3">
      <c r="A12" s="21"/>
      <c r="B12" s="265" t="s">
        <v>13</v>
      </c>
      <c r="C12" s="11">
        <v>3</v>
      </c>
      <c r="D12" s="11">
        <v>893</v>
      </c>
      <c r="E12" s="11">
        <v>341635</v>
      </c>
      <c r="F12" s="11" t="s">
        <v>22</v>
      </c>
    </row>
    <row r="13" spans="1:6" ht="15.75" customHeight="1" thickBot="1" x14ac:dyDescent="0.25">
      <c r="A13" s="5"/>
      <c r="B13" s="259" t="s">
        <v>0</v>
      </c>
      <c r="C13" s="260">
        <f>SUM(C9:C12)</f>
        <v>7</v>
      </c>
      <c r="D13" s="255">
        <f>SUM(D9:D12)</f>
        <v>4979</v>
      </c>
      <c r="E13" s="255">
        <f>SUM(E9:E12)</f>
        <v>1965035</v>
      </c>
      <c r="F13" s="261" t="s">
        <v>1</v>
      </c>
    </row>
    <row r="14" spans="1:6" ht="13.5" thickTop="1" x14ac:dyDescent="0.2">
      <c r="B14" s="15" t="s">
        <v>497</v>
      </c>
      <c r="C14" s="15"/>
      <c r="D14" s="15"/>
      <c r="E14" s="15"/>
    </row>
    <row r="15" spans="1:6" ht="15" x14ac:dyDescent="0.25">
      <c r="B15" s="337" t="s">
        <v>498</v>
      </c>
      <c r="C15" s="337"/>
      <c r="D15" s="337"/>
      <c r="E15" s="337"/>
      <c r="F15" s="62"/>
    </row>
    <row r="16" spans="1:6" x14ac:dyDescent="0.2">
      <c r="B16" s="849"/>
      <c r="C16" s="849"/>
      <c r="D16" s="849"/>
      <c r="E16" s="849"/>
      <c r="F16" s="849"/>
    </row>
    <row r="17" spans="3:5" x14ac:dyDescent="0.2">
      <c r="C17" s="7"/>
      <c r="D17" s="7"/>
      <c r="E17" s="7"/>
    </row>
  </sheetData>
  <mergeCells count="6">
    <mergeCell ref="B16:F16"/>
    <mergeCell ref="A8:B8"/>
    <mergeCell ref="B1:F1"/>
    <mergeCell ref="B2:F3"/>
    <mergeCell ref="D5:E5"/>
    <mergeCell ref="B4:F4"/>
  </mergeCells>
  <phoneticPr fontId="3" type="noConversion"/>
  <printOptions horizontalCentered="1" verticalCentered="1"/>
  <pageMargins left="0.51" right="1.47" top="1.0374015750000001" bottom="0.98425196850393704" header="0.78740157480314998" footer="0.511811023622047"/>
  <pageSetup scale="95" orientation="landscape" verticalDpi="300" r:id="rId1"/>
  <headerFooter alignWithMargins="0">
    <oddFooter>&amp;C22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53"/>
  <sheetViews>
    <sheetView rightToLeft="1" view="pageLayout" topLeftCell="A4" zoomScale="91" zoomScaleNormal="106" zoomScaleSheetLayoutView="124" zoomScalePageLayoutView="91" workbookViewId="0">
      <selection activeCell="L5" sqref="L5"/>
    </sheetView>
  </sheetViews>
  <sheetFormatPr defaultRowHeight="12.75" x14ac:dyDescent="0.2"/>
  <cols>
    <col min="1" max="1" width="8.28515625" customWidth="1"/>
    <col min="2" max="2" width="9" customWidth="1"/>
    <col min="3" max="3" width="12" customWidth="1"/>
    <col min="4" max="4" width="6.7109375" customWidth="1"/>
    <col min="5" max="5" width="11.42578125" customWidth="1"/>
    <col min="6" max="6" width="9" customWidth="1"/>
    <col min="7" max="7" width="11.42578125" customWidth="1"/>
    <col min="8" max="8" width="10" style="7" customWidth="1"/>
    <col min="9" max="9" width="12.5703125" customWidth="1"/>
    <col min="10" max="10" width="12.85546875" style="424" customWidth="1"/>
    <col min="11" max="11" width="12.7109375" customWidth="1"/>
    <col min="12" max="12" width="14.140625" customWidth="1"/>
  </cols>
  <sheetData>
    <row r="1" spans="1:14" ht="16.5" customHeight="1" x14ac:dyDescent="0.2">
      <c r="A1" s="821" t="s">
        <v>505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6" t="s">
        <v>226</v>
      </c>
    </row>
    <row r="2" spans="1:14" ht="15" customHeight="1" x14ac:dyDescent="0.2">
      <c r="A2" s="846" t="s">
        <v>423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90" t="s">
        <v>222</v>
      </c>
    </row>
    <row r="3" spans="1:14" ht="19.5" customHeight="1" thickBot="1" x14ac:dyDescent="0.3">
      <c r="A3" s="860" t="s">
        <v>476</v>
      </c>
      <c r="B3" s="860"/>
      <c r="C3" s="56"/>
      <c r="D3" s="56"/>
      <c r="E3" s="56"/>
      <c r="F3" s="75"/>
      <c r="G3" s="75"/>
      <c r="H3" s="75"/>
      <c r="I3" s="56"/>
      <c r="J3" s="425"/>
      <c r="K3" s="56"/>
      <c r="L3" s="56" t="s">
        <v>92</v>
      </c>
    </row>
    <row r="4" spans="1:14" s="726" customFormat="1" ht="25.5" customHeight="1" x14ac:dyDescent="0.2">
      <c r="A4" s="727"/>
      <c r="B4" s="861" t="s">
        <v>93</v>
      </c>
      <c r="C4" s="861"/>
      <c r="D4" s="861" t="s">
        <v>94</v>
      </c>
      <c r="E4" s="861"/>
      <c r="F4" s="861" t="s">
        <v>95</v>
      </c>
      <c r="G4" s="861"/>
      <c r="H4" s="730"/>
      <c r="I4" s="730" t="s">
        <v>0</v>
      </c>
      <c r="J4" s="861" t="s">
        <v>503</v>
      </c>
      <c r="K4" s="861"/>
      <c r="L4" s="727"/>
    </row>
    <row r="5" spans="1:14" ht="25.5" customHeight="1" x14ac:dyDescent="0.2">
      <c r="B5" s="859" t="s">
        <v>96</v>
      </c>
      <c r="C5" s="859"/>
      <c r="D5" s="859" t="s">
        <v>97</v>
      </c>
      <c r="E5" s="859"/>
      <c r="F5" s="859" t="s">
        <v>98</v>
      </c>
      <c r="G5" s="859"/>
      <c r="H5" s="464"/>
      <c r="I5" s="426" t="s">
        <v>492</v>
      </c>
      <c r="J5" s="426"/>
      <c r="K5" s="728" t="s">
        <v>492</v>
      </c>
      <c r="L5" s="58" t="s">
        <v>513</v>
      </c>
    </row>
    <row r="6" spans="1:14" ht="21.75" customHeight="1" x14ac:dyDescent="0.2">
      <c r="A6" s="78"/>
      <c r="B6" s="430" t="s">
        <v>394</v>
      </c>
      <c r="C6" s="430" t="s">
        <v>99</v>
      </c>
      <c r="D6" s="430" t="s">
        <v>69</v>
      </c>
      <c r="E6" s="429" t="s">
        <v>99</v>
      </c>
      <c r="F6" s="76" t="s">
        <v>394</v>
      </c>
      <c r="G6" s="430" t="s">
        <v>99</v>
      </c>
      <c r="H6" s="464" t="s">
        <v>502</v>
      </c>
      <c r="I6" s="432" t="s">
        <v>99</v>
      </c>
      <c r="J6" s="430" t="s">
        <v>457</v>
      </c>
      <c r="K6" s="430" t="s">
        <v>99</v>
      </c>
      <c r="L6" s="58"/>
    </row>
    <row r="7" spans="1:14" ht="36" customHeight="1" x14ac:dyDescent="0.2">
      <c r="A7" s="56" t="s">
        <v>53</v>
      </c>
      <c r="B7" s="429" t="s">
        <v>139</v>
      </c>
      <c r="C7" s="429" t="s">
        <v>100</v>
      </c>
      <c r="D7" s="429" t="s">
        <v>139</v>
      </c>
      <c r="E7" s="429" t="s">
        <v>100</v>
      </c>
      <c r="F7" s="55" t="s">
        <v>139</v>
      </c>
      <c r="G7" s="429" t="s">
        <v>100</v>
      </c>
      <c r="H7" s="460" t="s">
        <v>139</v>
      </c>
      <c r="I7" s="431" t="s">
        <v>100</v>
      </c>
      <c r="J7" s="429" t="s">
        <v>499</v>
      </c>
      <c r="K7" s="429" t="s">
        <v>100</v>
      </c>
      <c r="L7" s="56" t="s">
        <v>26</v>
      </c>
      <c r="N7" s="7"/>
    </row>
    <row r="8" spans="1:14" s="7" customFormat="1" ht="20.25" customHeight="1" x14ac:dyDescent="0.2">
      <c r="A8" s="56"/>
      <c r="B8" s="445"/>
      <c r="C8" s="445"/>
      <c r="D8" s="445"/>
      <c r="E8" s="445"/>
      <c r="F8" s="446"/>
      <c r="G8" s="445"/>
      <c r="H8" s="460"/>
      <c r="I8" s="445"/>
      <c r="J8" s="445"/>
      <c r="K8" s="445"/>
      <c r="L8" s="56"/>
    </row>
    <row r="9" spans="1:14" ht="15" customHeight="1" x14ac:dyDescent="0.25">
      <c r="A9" s="36" t="s">
        <v>395</v>
      </c>
      <c r="B9" s="437">
        <v>64</v>
      </c>
      <c r="C9" s="435">
        <f>B9*25*290</f>
        <v>464000</v>
      </c>
      <c r="D9" s="433">
        <v>2</v>
      </c>
      <c r="E9" s="435">
        <f>D9*30*290</f>
        <v>17400</v>
      </c>
      <c r="F9" s="433">
        <v>10</v>
      </c>
      <c r="G9" s="435">
        <f>F9*60*290</f>
        <v>174000</v>
      </c>
      <c r="H9" s="435">
        <f>B9+D9+F9</f>
        <v>76</v>
      </c>
      <c r="I9" s="433">
        <f>C9+E9+G9</f>
        <v>655400</v>
      </c>
      <c r="J9" s="433">
        <v>216264</v>
      </c>
      <c r="K9" s="433">
        <f>J9+I9</f>
        <v>871664</v>
      </c>
      <c r="L9" s="57" t="s">
        <v>397</v>
      </c>
      <c r="N9" s="7"/>
    </row>
    <row r="10" spans="1:14" s="211" customFormat="1" ht="15" customHeight="1" x14ac:dyDescent="0.25">
      <c r="A10" s="58" t="s">
        <v>30</v>
      </c>
      <c r="B10" s="436">
        <v>1680</v>
      </c>
      <c r="C10" s="543">
        <f t="shared" ref="C10:C23" si="0">B10*25*290</f>
        <v>12180000</v>
      </c>
      <c r="D10" s="434">
        <v>109</v>
      </c>
      <c r="E10" s="543">
        <f>D10*35*290</f>
        <v>1106350</v>
      </c>
      <c r="F10" s="434">
        <v>245</v>
      </c>
      <c r="G10" s="543">
        <f>F10*70*290</f>
        <v>4973500</v>
      </c>
      <c r="H10" s="543">
        <f t="shared" ref="H10:H23" si="1">B10+D10+F10</f>
        <v>2034</v>
      </c>
      <c r="I10" s="434">
        <f t="shared" ref="I10:I23" si="2">C10+E10+G10</f>
        <v>18259850</v>
      </c>
      <c r="J10" s="434">
        <v>4110080</v>
      </c>
      <c r="K10" s="434">
        <f t="shared" ref="K10:K23" si="3">J10+I10</f>
        <v>22369930</v>
      </c>
      <c r="L10" s="508" t="s">
        <v>31</v>
      </c>
    </row>
    <row r="11" spans="1:14" ht="15" customHeight="1" x14ac:dyDescent="0.25">
      <c r="A11" s="16" t="s">
        <v>3</v>
      </c>
      <c r="B11" s="437">
        <v>2796</v>
      </c>
      <c r="C11" s="435">
        <f t="shared" si="0"/>
        <v>20271000</v>
      </c>
      <c r="D11" s="437">
        <v>258</v>
      </c>
      <c r="E11" s="435">
        <f>D11*30*290</f>
        <v>2244600</v>
      </c>
      <c r="F11" s="433">
        <v>364</v>
      </c>
      <c r="G11" s="435">
        <f>F11*70*290</f>
        <v>7389200</v>
      </c>
      <c r="H11" s="435">
        <f t="shared" si="1"/>
        <v>3418</v>
      </c>
      <c r="I11" s="433">
        <f t="shared" si="2"/>
        <v>29904800</v>
      </c>
      <c r="J11" s="433">
        <v>25143854</v>
      </c>
      <c r="K11" s="433">
        <f t="shared" si="3"/>
        <v>55048654</v>
      </c>
      <c r="L11" s="57" t="s">
        <v>15</v>
      </c>
    </row>
    <row r="12" spans="1:14" s="211" customFormat="1" ht="15" customHeight="1" x14ac:dyDescent="0.25">
      <c r="A12" s="503" t="s">
        <v>370</v>
      </c>
      <c r="B12" s="436">
        <v>385</v>
      </c>
      <c r="C12" s="543">
        <f t="shared" si="0"/>
        <v>2791250</v>
      </c>
      <c r="D12" s="436">
        <v>32</v>
      </c>
      <c r="E12" s="543">
        <f>D12*30*290</f>
        <v>278400</v>
      </c>
      <c r="F12" s="434">
        <v>55</v>
      </c>
      <c r="G12" s="543">
        <f>F12*75*290</f>
        <v>1196250</v>
      </c>
      <c r="H12" s="543">
        <f t="shared" si="1"/>
        <v>472</v>
      </c>
      <c r="I12" s="434">
        <f t="shared" si="2"/>
        <v>4265900</v>
      </c>
      <c r="J12" s="434">
        <v>491129</v>
      </c>
      <c r="K12" s="434">
        <f t="shared" si="3"/>
        <v>4757029</v>
      </c>
      <c r="L12" s="508" t="s">
        <v>371</v>
      </c>
    </row>
    <row r="13" spans="1:14" s="211" customFormat="1" ht="15" customHeight="1" x14ac:dyDescent="0.25">
      <c r="A13" s="58" t="s">
        <v>4</v>
      </c>
      <c r="B13" s="436">
        <v>14476</v>
      </c>
      <c r="C13" s="543">
        <f t="shared" si="0"/>
        <v>104951000</v>
      </c>
      <c r="D13" s="434">
        <v>1642</v>
      </c>
      <c r="E13" s="543">
        <f>D13*40*290</f>
        <v>19047200</v>
      </c>
      <c r="F13" s="434">
        <v>2061</v>
      </c>
      <c r="G13" s="543">
        <f>F13*80*290</f>
        <v>47815200</v>
      </c>
      <c r="H13" s="543">
        <f t="shared" si="1"/>
        <v>18179</v>
      </c>
      <c r="I13" s="434">
        <f t="shared" si="2"/>
        <v>171813400</v>
      </c>
      <c r="J13" s="434">
        <v>75846383</v>
      </c>
      <c r="K13" s="434">
        <f t="shared" si="3"/>
        <v>247659783</v>
      </c>
      <c r="L13" s="508" t="s">
        <v>16</v>
      </c>
    </row>
    <row r="14" spans="1:14" ht="15" customHeight="1" x14ac:dyDescent="0.25">
      <c r="A14" s="36" t="s">
        <v>5</v>
      </c>
      <c r="B14" s="437">
        <v>1298</v>
      </c>
      <c r="C14" s="435">
        <f t="shared" si="0"/>
        <v>9410500</v>
      </c>
      <c r="D14" s="433">
        <v>82</v>
      </c>
      <c r="E14" s="435">
        <f>D14*40*290</f>
        <v>951200</v>
      </c>
      <c r="F14" s="433">
        <v>152</v>
      </c>
      <c r="G14" s="435">
        <f>F14*80*290</f>
        <v>3526400</v>
      </c>
      <c r="H14" s="435">
        <f t="shared" si="1"/>
        <v>1532</v>
      </c>
      <c r="I14" s="433">
        <f t="shared" si="2"/>
        <v>13888100</v>
      </c>
      <c r="J14" s="433">
        <v>2526084</v>
      </c>
      <c r="K14" s="433">
        <f t="shared" si="3"/>
        <v>16414184</v>
      </c>
      <c r="L14" s="57" t="s">
        <v>23</v>
      </c>
    </row>
    <row r="15" spans="1:14" s="211" customFormat="1" ht="15" customHeight="1" x14ac:dyDescent="0.25">
      <c r="A15" s="58" t="s">
        <v>6</v>
      </c>
      <c r="B15" s="436">
        <v>1186</v>
      </c>
      <c r="C15" s="543">
        <f t="shared" si="0"/>
        <v>8598500</v>
      </c>
      <c r="D15" s="434">
        <v>41</v>
      </c>
      <c r="E15" s="543">
        <f>D15*35*290</f>
        <v>416150</v>
      </c>
      <c r="F15" s="434">
        <v>154</v>
      </c>
      <c r="G15" s="543">
        <f>F15*75*290</f>
        <v>3349500</v>
      </c>
      <c r="H15" s="543">
        <f t="shared" si="1"/>
        <v>1381</v>
      </c>
      <c r="I15" s="434">
        <f t="shared" si="2"/>
        <v>12364150</v>
      </c>
      <c r="J15" s="434">
        <v>0</v>
      </c>
      <c r="K15" s="434">
        <f t="shared" si="3"/>
        <v>12364150</v>
      </c>
      <c r="L15" s="508" t="s">
        <v>24</v>
      </c>
    </row>
    <row r="16" spans="1:14" ht="15" customHeight="1" x14ac:dyDescent="0.25">
      <c r="A16" s="36" t="s">
        <v>11</v>
      </c>
      <c r="B16" s="437">
        <v>911</v>
      </c>
      <c r="C16" s="435">
        <f t="shared" si="0"/>
        <v>6604750</v>
      </c>
      <c r="D16" s="433">
        <v>56</v>
      </c>
      <c r="E16" s="435">
        <f>D16*35*290</f>
        <v>568400</v>
      </c>
      <c r="F16" s="433">
        <v>127</v>
      </c>
      <c r="G16" s="435">
        <f>F16*75*290</f>
        <v>2762250</v>
      </c>
      <c r="H16" s="435">
        <f t="shared" si="1"/>
        <v>1094</v>
      </c>
      <c r="I16" s="433">
        <f t="shared" si="2"/>
        <v>9935400</v>
      </c>
      <c r="J16" s="433">
        <v>1907399</v>
      </c>
      <c r="K16" s="433">
        <f t="shared" si="3"/>
        <v>11842799</v>
      </c>
      <c r="L16" s="57" t="s">
        <v>21</v>
      </c>
    </row>
    <row r="17" spans="1:12" s="211" customFormat="1" ht="15" customHeight="1" x14ac:dyDescent="0.25">
      <c r="A17" s="544" t="s">
        <v>2</v>
      </c>
      <c r="B17" s="436">
        <v>594</v>
      </c>
      <c r="C17" s="543">
        <f t="shared" si="0"/>
        <v>4306500</v>
      </c>
      <c r="D17" s="434">
        <v>79</v>
      </c>
      <c r="E17" s="543">
        <f>D17*35*290</f>
        <v>801850</v>
      </c>
      <c r="F17" s="434">
        <v>83</v>
      </c>
      <c r="G17" s="543">
        <f>F17*70*290</f>
        <v>1684900</v>
      </c>
      <c r="H17" s="543">
        <f t="shared" si="1"/>
        <v>756</v>
      </c>
      <c r="I17" s="434">
        <f t="shared" si="2"/>
        <v>6793250</v>
      </c>
      <c r="J17" s="434">
        <v>1342839</v>
      </c>
      <c r="K17" s="434">
        <f t="shared" si="3"/>
        <v>8136089</v>
      </c>
      <c r="L17" s="545" t="s">
        <v>14</v>
      </c>
    </row>
    <row r="18" spans="1:12" ht="15" customHeight="1" x14ac:dyDescent="0.25">
      <c r="A18" s="36" t="s">
        <v>7</v>
      </c>
      <c r="B18" s="437">
        <v>1715</v>
      </c>
      <c r="C18" s="435">
        <f t="shared" si="0"/>
        <v>12433750</v>
      </c>
      <c r="D18" s="433">
        <v>94</v>
      </c>
      <c r="E18" s="435">
        <f>D18*35*290</f>
        <v>954100</v>
      </c>
      <c r="F18" s="433">
        <v>226</v>
      </c>
      <c r="G18" s="435">
        <f>F18*75*290</f>
        <v>4915500</v>
      </c>
      <c r="H18" s="435">
        <f t="shared" si="1"/>
        <v>2035</v>
      </c>
      <c r="I18" s="433">
        <f t="shared" si="2"/>
        <v>18303350</v>
      </c>
      <c r="J18" s="433">
        <v>5717035</v>
      </c>
      <c r="K18" s="433">
        <f t="shared" si="3"/>
        <v>24020385</v>
      </c>
      <c r="L18" s="57" t="s">
        <v>17</v>
      </c>
    </row>
    <row r="19" spans="1:12" s="211" customFormat="1" ht="15" customHeight="1" x14ac:dyDescent="0.25">
      <c r="A19" s="58" t="s">
        <v>8</v>
      </c>
      <c r="B19" s="436">
        <v>499</v>
      </c>
      <c r="C19" s="543">
        <f t="shared" si="0"/>
        <v>3617750</v>
      </c>
      <c r="D19" s="434">
        <v>27</v>
      </c>
      <c r="E19" s="543">
        <f>D19*35*290</f>
        <v>274050</v>
      </c>
      <c r="F19" s="434">
        <v>62</v>
      </c>
      <c r="G19" s="543">
        <f>F19*70*290</f>
        <v>1258600</v>
      </c>
      <c r="H19" s="543">
        <f t="shared" si="1"/>
        <v>588</v>
      </c>
      <c r="I19" s="434">
        <f t="shared" si="2"/>
        <v>5150400</v>
      </c>
      <c r="J19" s="434">
        <v>3362250</v>
      </c>
      <c r="K19" s="434">
        <f t="shared" si="3"/>
        <v>8512650</v>
      </c>
      <c r="L19" s="508" t="s">
        <v>18</v>
      </c>
    </row>
    <row r="20" spans="1:12" ht="15" customHeight="1" x14ac:dyDescent="0.25">
      <c r="A20" s="36" t="s">
        <v>9</v>
      </c>
      <c r="B20" s="437">
        <v>756</v>
      </c>
      <c r="C20" s="435">
        <f t="shared" si="0"/>
        <v>5481000</v>
      </c>
      <c r="D20" s="433">
        <v>32</v>
      </c>
      <c r="E20" s="435">
        <f>D20*30*290</f>
        <v>278400</v>
      </c>
      <c r="F20" s="433">
        <v>88</v>
      </c>
      <c r="G20" s="435">
        <f>F20*70*290</f>
        <v>1786400</v>
      </c>
      <c r="H20" s="435">
        <f t="shared" si="1"/>
        <v>876</v>
      </c>
      <c r="I20" s="433">
        <f t="shared" si="2"/>
        <v>7545800</v>
      </c>
      <c r="J20" s="433">
        <v>1067345</v>
      </c>
      <c r="K20" s="433">
        <f t="shared" si="3"/>
        <v>8613145</v>
      </c>
      <c r="L20" s="57" t="s">
        <v>19</v>
      </c>
    </row>
    <row r="21" spans="1:12" s="211" customFormat="1" ht="15" customHeight="1" x14ac:dyDescent="0.25">
      <c r="A21" s="58" t="s">
        <v>10</v>
      </c>
      <c r="B21" s="436">
        <v>972</v>
      </c>
      <c r="C21" s="543">
        <f t="shared" si="0"/>
        <v>7047000</v>
      </c>
      <c r="D21" s="434">
        <v>21</v>
      </c>
      <c r="E21" s="543">
        <f>D21*35*290</f>
        <v>213150</v>
      </c>
      <c r="F21" s="434">
        <v>137</v>
      </c>
      <c r="G21" s="543">
        <f>F21*75*290</f>
        <v>2979750</v>
      </c>
      <c r="H21" s="543">
        <f t="shared" si="1"/>
        <v>1130</v>
      </c>
      <c r="I21" s="434">
        <f t="shared" si="2"/>
        <v>10239900</v>
      </c>
      <c r="J21" s="434">
        <v>4154729</v>
      </c>
      <c r="K21" s="434">
        <f t="shared" si="3"/>
        <v>14394629</v>
      </c>
      <c r="L21" s="508" t="s">
        <v>20</v>
      </c>
    </row>
    <row r="22" spans="1:12" ht="15" customHeight="1" x14ac:dyDescent="0.25">
      <c r="A22" s="36" t="s">
        <v>12</v>
      </c>
      <c r="B22" s="437">
        <v>357</v>
      </c>
      <c r="C22" s="435">
        <f t="shared" si="0"/>
        <v>2588250</v>
      </c>
      <c r="D22" s="433">
        <v>5</v>
      </c>
      <c r="E22" s="435">
        <f>D22*35*290</f>
        <v>50750</v>
      </c>
      <c r="F22" s="433">
        <v>50</v>
      </c>
      <c r="G22" s="435">
        <f>F22*75*290</f>
        <v>1087500</v>
      </c>
      <c r="H22" s="435">
        <f t="shared" si="1"/>
        <v>412</v>
      </c>
      <c r="I22" s="433">
        <f t="shared" si="2"/>
        <v>3726500</v>
      </c>
      <c r="J22" s="433">
        <v>31485300</v>
      </c>
      <c r="K22" s="433">
        <f t="shared" si="3"/>
        <v>35211800</v>
      </c>
      <c r="L22" s="57" t="s">
        <v>25</v>
      </c>
    </row>
    <row r="23" spans="1:12" s="211" customFormat="1" ht="15" customHeight="1" thickBot="1" x14ac:dyDescent="0.3">
      <c r="A23" s="58" t="s">
        <v>13</v>
      </c>
      <c r="B23" s="436">
        <v>2089</v>
      </c>
      <c r="C23" s="543">
        <f t="shared" si="0"/>
        <v>15145250</v>
      </c>
      <c r="D23" s="434">
        <v>49</v>
      </c>
      <c r="E23" s="543">
        <f>D23*40*290</f>
        <v>568400</v>
      </c>
      <c r="F23" s="434">
        <v>258</v>
      </c>
      <c r="G23" s="543">
        <f>F23*75*290</f>
        <v>5611500</v>
      </c>
      <c r="H23" s="543">
        <f t="shared" si="1"/>
        <v>2396</v>
      </c>
      <c r="I23" s="434">
        <f t="shared" si="2"/>
        <v>21325150</v>
      </c>
      <c r="J23" s="434">
        <v>4973740</v>
      </c>
      <c r="K23" s="434">
        <f t="shared" si="3"/>
        <v>26298890</v>
      </c>
      <c r="L23" s="508" t="s">
        <v>22</v>
      </c>
    </row>
    <row r="24" spans="1:12" s="562" customFormat="1" ht="16.5" customHeight="1" thickBot="1" x14ac:dyDescent="0.3">
      <c r="A24" s="775" t="s">
        <v>0</v>
      </c>
      <c r="B24" s="778">
        <f t="shared" ref="B24:I24" si="4">SUM(B9:B23)</f>
        <v>29778</v>
      </c>
      <c r="C24" s="778">
        <f t="shared" si="4"/>
        <v>215890500</v>
      </c>
      <c r="D24" s="778">
        <f t="shared" si="4"/>
        <v>2529</v>
      </c>
      <c r="E24" s="778">
        <f t="shared" si="4"/>
        <v>27770400</v>
      </c>
      <c r="F24" s="778">
        <f t="shared" si="4"/>
        <v>4072</v>
      </c>
      <c r="G24" s="778">
        <f t="shared" si="4"/>
        <v>90510450</v>
      </c>
      <c r="H24" s="778">
        <f t="shared" si="4"/>
        <v>36379</v>
      </c>
      <c r="I24" s="778">
        <f t="shared" si="4"/>
        <v>334171350</v>
      </c>
      <c r="J24" s="779">
        <f>SUM(J9:J23)</f>
        <v>162344431</v>
      </c>
      <c r="K24" s="779">
        <f>I24+J24</f>
        <v>496515781</v>
      </c>
      <c r="L24" s="756" t="s">
        <v>1</v>
      </c>
    </row>
    <row r="25" spans="1:12" s="7" customFormat="1" ht="11.25" customHeight="1" x14ac:dyDescent="0.2">
      <c r="A25" s="15"/>
      <c r="B25" s="15"/>
      <c r="C25" s="15"/>
      <c r="D25" s="15"/>
      <c r="E25" s="8"/>
      <c r="F25" s="8"/>
      <c r="G25" s="8"/>
      <c r="H25" s="8"/>
      <c r="I25" s="8"/>
      <c r="J25" s="396"/>
      <c r="K25" s="8"/>
      <c r="L25" s="8"/>
    </row>
    <row r="26" spans="1:12" x14ac:dyDescent="0.2">
      <c r="A26" s="849"/>
      <c r="B26" s="849"/>
      <c r="C26" s="849"/>
      <c r="D26" s="849"/>
      <c r="E26" s="849"/>
      <c r="F26" s="849"/>
      <c r="G26" s="8"/>
      <c r="H26" s="8"/>
      <c r="I26" s="8"/>
      <c r="J26" s="396"/>
      <c r="K26" s="8"/>
      <c r="L26" s="8"/>
    </row>
    <row r="27" spans="1:12" x14ac:dyDescent="0.2">
      <c r="A27" s="8"/>
      <c r="B27" s="396"/>
      <c r="C27" s="8"/>
      <c r="D27" s="8"/>
      <c r="I27" s="8"/>
      <c r="J27" s="396"/>
      <c r="K27" s="8"/>
      <c r="L27" s="8"/>
    </row>
    <row r="28" spans="1:12" x14ac:dyDescent="0.2">
      <c r="A28" s="8"/>
      <c r="B28" s="427"/>
      <c r="E28" s="6"/>
      <c r="I28" s="8"/>
      <c r="J28" s="396"/>
      <c r="K28" s="8"/>
      <c r="L28" s="8"/>
    </row>
    <row r="29" spans="1:12" x14ac:dyDescent="0.2">
      <c r="A29" s="8"/>
      <c r="B29" s="6"/>
      <c r="D29" s="7"/>
      <c r="E29" s="6"/>
    </row>
    <row r="30" spans="1:12" x14ac:dyDescent="0.2">
      <c r="B30" s="6"/>
      <c r="C30" s="8"/>
      <c r="D30" s="7"/>
      <c r="E30" s="428"/>
      <c r="F30" s="313"/>
      <c r="G30" s="313"/>
      <c r="H30" s="313"/>
    </row>
    <row r="31" spans="1:12" x14ac:dyDescent="0.2">
      <c r="B31" s="6"/>
      <c r="C31" s="8"/>
      <c r="D31" s="7"/>
      <c r="E31" s="427"/>
      <c r="F31" s="8"/>
      <c r="G31" s="8"/>
      <c r="H31" s="8"/>
    </row>
    <row r="32" spans="1:12" x14ac:dyDescent="0.2">
      <c r="B32" s="6"/>
      <c r="C32" s="8"/>
      <c r="D32" s="7"/>
      <c r="E32" s="6"/>
    </row>
    <row r="33" spans="2:9" x14ac:dyDescent="0.2">
      <c r="B33" s="6"/>
      <c r="C33" s="8"/>
      <c r="D33" s="7"/>
      <c r="E33" s="6"/>
    </row>
    <row r="34" spans="2:9" x14ac:dyDescent="0.2">
      <c r="B34" s="6"/>
      <c r="C34" s="8"/>
      <c r="D34" s="7"/>
      <c r="E34" s="6"/>
    </row>
    <row r="35" spans="2:9" x14ac:dyDescent="0.2">
      <c r="B35" s="6"/>
      <c r="C35" s="8"/>
      <c r="D35" s="7"/>
      <c r="E35" s="6"/>
    </row>
    <row r="36" spans="2:9" x14ac:dyDescent="0.2">
      <c r="B36" s="6"/>
      <c r="C36" s="8"/>
      <c r="D36" s="7"/>
      <c r="E36" s="6"/>
    </row>
    <row r="37" spans="2:9" x14ac:dyDescent="0.2">
      <c r="B37" s="6"/>
      <c r="C37" s="8"/>
      <c r="D37" s="7"/>
      <c r="E37" s="6"/>
    </row>
    <row r="38" spans="2:9" x14ac:dyDescent="0.2">
      <c r="B38" s="6"/>
      <c r="C38" s="8"/>
      <c r="D38" s="7"/>
      <c r="E38" s="6"/>
    </row>
    <row r="39" spans="2:9" x14ac:dyDescent="0.2">
      <c r="B39" s="6"/>
      <c r="C39" s="8"/>
      <c r="D39" s="7"/>
      <c r="E39" s="6"/>
      <c r="I39" t="s">
        <v>393</v>
      </c>
    </row>
    <row r="40" spans="2:9" x14ac:dyDescent="0.2">
      <c r="B40" s="6"/>
      <c r="C40" s="8"/>
      <c r="D40" s="7"/>
      <c r="E40" s="6"/>
      <c r="I40">
        <v>18820</v>
      </c>
    </row>
    <row r="41" spans="2:9" x14ac:dyDescent="0.2">
      <c r="B41" s="6"/>
      <c r="C41" s="8"/>
      <c r="D41" s="7"/>
      <c r="E41" s="6"/>
      <c r="I41">
        <v>843709</v>
      </c>
    </row>
    <row r="42" spans="2:9" x14ac:dyDescent="0.2">
      <c r="I42">
        <v>242</v>
      </c>
    </row>
    <row r="43" spans="2:9" x14ac:dyDescent="0.2">
      <c r="I43">
        <v>1812316</v>
      </c>
    </row>
    <row r="44" spans="2:9" x14ac:dyDescent="0.2">
      <c r="I44">
        <v>29004</v>
      </c>
    </row>
    <row r="45" spans="2:9" x14ac:dyDescent="0.2">
      <c r="I45">
        <v>0</v>
      </c>
    </row>
    <row r="46" spans="2:9" x14ac:dyDescent="0.2">
      <c r="I46">
        <v>22009</v>
      </c>
    </row>
    <row r="47" spans="2:9" x14ac:dyDescent="0.2">
      <c r="I47">
        <v>1723</v>
      </c>
    </row>
    <row r="48" spans="2:9" x14ac:dyDescent="0.2">
      <c r="I48">
        <v>54086</v>
      </c>
    </row>
    <row r="49" spans="9:9" x14ac:dyDescent="0.2">
      <c r="I49">
        <v>0</v>
      </c>
    </row>
    <row r="50" spans="9:9" x14ac:dyDescent="0.2">
      <c r="I50">
        <v>0</v>
      </c>
    </row>
    <row r="51" spans="9:9" x14ac:dyDescent="0.2">
      <c r="I51">
        <v>886</v>
      </c>
    </row>
    <row r="52" spans="9:9" x14ac:dyDescent="0.2">
      <c r="I52">
        <v>0</v>
      </c>
    </row>
    <row r="53" spans="9:9" x14ac:dyDescent="0.2">
      <c r="I53">
        <v>8</v>
      </c>
    </row>
  </sheetData>
  <mergeCells count="11">
    <mergeCell ref="A26:F26"/>
    <mergeCell ref="A1:K1"/>
    <mergeCell ref="A2:K2"/>
    <mergeCell ref="D5:E5"/>
    <mergeCell ref="F5:G5"/>
    <mergeCell ref="B5:C5"/>
    <mergeCell ref="A3:B3"/>
    <mergeCell ref="B4:C4"/>
    <mergeCell ref="D4:E4"/>
    <mergeCell ref="F4:G4"/>
    <mergeCell ref="J4:K4"/>
  </mergeCells>
  <phoneticPr fontId="3" type="noConversion"/>
  <printOptions horizontalCentered="1" verticalCentered="1"/>
  <pageMargins left="0.35" right="0.47" top="1.39" bottom="0.98425196850393704" header="0.78740157480314965" footer="0.51181102362204722"/>
  <pageSetup scale="98" orientation="landscape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4:F49"/>
  <sheetViews>
    <sheetView rightToLeft="1" view="pageBreakPreview" zoomScaleSheetLayoutView="100" workbookViewId="0">
      <selection activeCell="O12" sqref="O12"/>
    </sheetView>
  </sheetViews>
  <sheetFormatPr defaultRowHeight="12.75" x14ac:dyDescent="0.2"/>
  <cols>
    <col min="13" max="13" width="9.85546875" customWidth="1"/>
    <col min="15" max="15" width="9.5703125" customWidth="1"/>
  </cols>
  <sheetData>
    <row r="34" spans="5:6" x14ac:dyDescent="0.2">
      <c r="E34" s="815"/>
      <c r="F34" s="815"/>
    </row>
    <row r="39" spans="5:6" ht="17.25" customHeight="1" x14ac:dyDescent="0.2"/>
    <row r="45" spans="5:6" ht="18.75" customHeight="1" x14ac:dyDescent="0.2"/>
    <row r="46" spans="5:6" ht="18" customHeight="1" x14ac:dyDescent="0.2"/>
    <row r="49" ht="27.75" customHeight="1" x14ac:dyDescent="0.2"/>
  </sheetData>
  <mergeCells count="1">
    <mergeCell ref="E34:F34"/>
  </mergeCells>
  <phoneticPr fontId="3" type="noConversion"/>
  <pageMargins left="0.83" right="0.69" top="2.8750000000000001E-2" bottom="0.79541666666666666" header="0.5" footer="0.84"/>
  <pageSetup scale="88" orientation="landscape" horizontalDpi="4294967293" verticalDpi="1200" r:id="rId1"/>
  <headerFooter alignWithMargins="0">
    <oddFooter>&amp;C24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U27"/>
  <sheetViews>
    <sheetView rightToLeft="1" view="pageBreakPreview" zoomScale="106" zoomScaleNormal="100" zoomScaleSheetLayoutView="106" workbookViewId="0">
      <selection sqref="A1:F1"/>
    </sheetView>
  </sheetViews>
  <sheetFormatPr defaultRowHeight="12.75" x14ac:dyDescent="0.2"/>
  <cols>
    <col min="1" max="1" width="9.140625" style="7" customWidth="1"/>
    <col min="2" max="2" width="11" style="7" customWidth="1"/>
    <col min="3" max="3" width="13.7109375" style="7" customWidth="1"/>
    <col min="4" max="4" width="9" style="7" customWidth="1"/>
    <col min="5" max="5" width="13" style="7" customWidth="1"/>
    <col min="6" max="6" width="11" style="7" customWidth="1"/>
    <col min="7" max="7" width="12" style="7" customWidth="1"/>
    <col min="8" max="8" width="9.42578125" style="7" customWidth="1"/>
    <col min="9" max="9" width="11.28515625" style="7" customWidth="1"/>
    <col min="10" max="10" width="9.5703125" style="7" customWidth="1"/>
    <col min="11" max="11" width="13.140625" style="7" customWidth="1"/>
    <col min="12" max="12" width="12.7109375" style="7" customWidth="1"/>
  </cols>
  <sheetData>
    <row r="1" spans="1:47" ht="24.75" customHeight="1" x14ac:dyDescent="0.2">
      <c r="A1" s="821" t="s">
        <v>512</v>
      </c>
      <c r="B1" s="821"/>
      <c r="C1" s="821"/>
      <c r="D1" s="821"/>
      <c r="E1" s="821"/>
      <c r="F1" s="821"/>
      <c r="G1" s="57"/>
      <c r="H1" s="57"/>
      <c r="I1" s="388"/>
      <c r="J1" s="388"/>
      <c r="K1" s="388"/>
      <c r="L1" s="388"/>
    </row>
    <row r="2" spans="1:47" ht="28.5" customHeight="1" x14ac:dyDescent="0.2">
      <c r="A2" s="831" t="s">
        <v>479</v>
      </c>
      <c r="B2" s="831"/>
      <c r="C2" s="831"/>
      <c r="D2" s="831"/>
      <c r="E2" s="831"/>
      <c r="F2" s="831"/>
      <c r="G2" s="831"/>
      <c r="H2" s="831"/>
      <c r="I2" s="389"/>
      <c r="J2" s="389"/>
      <c r="K2" s="389"/>
      <c r="L2" s="222" t="s">
        <v>330</v>
      </c>
    </row>
    <row r="3" spans="1:47" s="7" customFormat="1" ht="21" customHeight="1" x14ac:dyDescent="0.25">
      <c r="A3" s="400"/>
      <c r="B3" s="400"/>
      <c r="C3" s="400"/>
      <c r="D3" s="400"/>
      <c r="E3" s="400"/>
      <c r="F3" s="400"/>
      <c r="G3" s="389"/>
      <c r="H3" s="389"/>
      <c r="I3" s="389"/>
      <c r="J3" s="389"/>
      <c r="L3" s="390" t="s">
        <v>331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ht="27" customHeight="1" thickBot="1" x14ac:dyDescent="0.3">
      <c r="A4" s="840" t="s">
        <v>478</v>
      </c>
      <c r="B4" s="840"/>
      <c r="C4" s="397" t="s">
        <v>187</v>
      </c>
      <c r="D4" s="397"/>
      <c r="E4" s="21"/>
      <c r="F4" s="21"/>
      <c r="G4" s="21"/>
      <c r="H4" s="21"/>
      <c r="I4" s="21"/>
      <c r="J4" s="21"/>
      <c r="K4" s="42" t="s">
        <v>123</v>
      </c>
      <c r="L4" s="63" t="s">
        <v>205</v>
      </c>
    </row>
    <row r="5" spans="1:47" ht="15" customHeight="1" x14ac:dyDescent="0.25">
      <c r="A5" s="41"/>
      <c r="B5" s="392" t="s">
        <v>227</v>
      </c>
      <c r="C5" s="392"/>
      <c r="D5" s="392" t="s">
        <v>228</v>
      </c>
      <c r="E5" s="392"/>
      <c r="F5" s="392" t="s">
        <v>229</v>
      </c>
      <c r="G5" s="392"/>
      <c r="H5" s="392" t="s">
        <v>477</v>
      </c>
      <c r="I5" s="392"/>
      <c r="J5" s="863" t="s">
        <v>376</v>
      </c>
      <c r="K5" s="863"/>
      <c r="L5" s="41"/>
    </row>
    <row r="6" spans="1:47" s="7" customFormat="1" ht="33" customHeight="1" x14ac:dyDescent="0.25">
      <c r="A6" s="45"/>
      <c r="B6" s="17" t="s">
        <v>174</v>
      </c>
      <c r="C6" s="36"/>
      <c r="D6" s="393" t="s">
        <v>263</v>
      </c>
      <c r="E6" s="36"/>
      <c r="F6" s="36" t="s">
        <v>262</v>
      </c>
      <c r="G6" s="36"/>
      <c r="H6" s="36" t="s">
        <v>291</v>
      </c>
      <c r="I6" s="393"/>
      <c r="J6" s="864" t="s">
        <v>1</v>
      </c>
      <c r="K6" s="864"/>
      <c r="L6" s="4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211" customFormat="1" ht="15" customHeight="1" x14ac:dyDescent="0.2">
      <c r="A7" s="502"/>
      <c r="B7" s="58" t="s">
        <v>69</v>
      </c>
      <c r="C7" s="58" t="s">
        <v>246</v>
      </c>
      <c r="D7" s="58" t="s">
        <v>69</v>
      </c>
      <c r="E7" s="58" t="s">
        <v>246</v>
      </c>
      <c r="F7" s="58" t="s">
        <v>27</v>
      </c>
      <c r="G7" s="58" t="s">
        <v>246</v>
      </c>
      <c r="H7" s="58" t="s">
        <v>27</v>
      </c>
      <c r="I7" s="58" t="s">
        <v>246</v>
      </c>
      <c r="J7" s="58" t="s">
        <v>69</v>
      </c>
      <c r="K7" s="58" t="s">
        <v>246</v>
      </c>
      <c r="L7" s="502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557" customFormat="1" ht="15" customHeight="1" thickBot="1" x14ac:dyDescent="0.25">
      <c r="A8" s="590" t="s">
        <v>60</v>
      </c>
      <c r="B8" s="554" t="s">
        <v>139</v>
      </c>
      <c r="C8" s="554" t="s">
        <v>29</v>
      </c>
      <c r="D8" s="554" t="s">
        <v>139</v>
      </c>
      <c r="E8" s="554" t="s">
        <v>29</v>
      </c>
      <c r="F8" s="554" t="s">
        <v>139</v>
      </c>
      <c r="G8" s="554" t="s">
        <v>29</v>
      </c>
      <c r="H8" s="554" t="s">
        <v>139</v>
      </c>
      <c r="I8" s="554" t="s">
        <v>29</v>
      </c>
      <c r="J8" s="554" t="s">
        <v>139</v>
      </c>
      <c r="K8" s="554" t="s">
        <v>29</v>
      </c>
      <c r="L8" s="592" t="s">
        <v>26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549" customFormat="1" ht="15" customHeight="1" x14ac:dyDescent="0.25">
      <c r="A9" s="495" t="s">
        <v>395</v>
      </c>
      <c r="B9" s="551">
        <v>0</v>
      </c>
      <c r="C9" s="91">
        <f>B9*250</f>
        <v>0</v>
      </c>
      <c r="D9" s="86">
        <v>0</v>
      </c>
      <c r="E9" s="86">
        <f>D9*140</f>
        <v>0</v>
      </c>
      <c r="F9" s="86">
        <v>0</v>
      </c>
      <c r="G9" s="91">
        <f>F9*340</f>
        <v>0</v>
      </c>
      <c r="H9" s="86">
        <v>0</v>
      </c>
      <c r="I9" s="87">
        <f>H9*2138</f>
        <v>0</v>
      </c>
      <c r="J9" s="86">
        <f>B9+D9+F9+H9</f>
        <v>0</v>
      </c>
      <c r="K9" s="91">
        <f>C9+E9+G9+I9</f>
        <v>0</v>
      </c>
      <c r="L9" s="11" t="s">
        <v>397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211" customFormat="1" ht="21.75" customHeight="1" x14ac:dyDescent="0.25">
      <c r="A10" s="505" t="s">
        <v>30</v>
      </c>
      <c r="B10" s="548">
        <v>16891</v>
      </c>
      <c r="C10" s="266">
        <f>B10*200</f>
        <v>3378200</v>
      </c>
      <c r="D10" s="90">
        <v>0</v>
      </c>
      <c r="E10" s="90">
        <f t="shared" ref="E10:E23" si="0">D10*140</f>
        <v>0</v>
      </c>
      <c r="F10" s="90">
        <v>0</v>
      </c>
      <c r="G10" s="266">
        <f>F10*0</f>
        <v>0</v>
      </c>
      <c r="H10" s="90">
        <v>0</v>
      </c>
      <c r="I10" s="214">
        <f t="shared" ref="I10:I23" si="1">H10*2138</f>
        <v>0</v>
      </c>
      <c r="J10" s="90">
        <f t="shared" ref="J10:J23" si="2">B10+D10+F10+H10</f>
        <v>16891</v>
      </c>
      <c r="K10" s="266">
        <f t="shared" ref="K10:K23" si="3">C10+E10+G10+I10</f>
        <v>3378200</v>
      </c>
      <c r="L10" s="507" t="s">
        <v>31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447" customFormat="1" ht="15" customHeight="1" x14ac:dyDescent="0.25">
      <c r="A11" s="495" t="s">
        <v>3</v>
      </c>
      <c r="B11" s="547">
        <v>47334</v>
      </c>
      <c r="C11" s="91">
        <f>B11*90</f>
        <v>4260060</v>
      </c>
      <c r="D11" s="86">
        <v>7369</v>
      </c>
      <c r="E11" s="86">
        <f t="shared" si="0"/>
        <v>1031660</v>
      </c>
      <c r="F11" s="86">
        <v>9459</v>
      </c>
      <c r="G11" s="91">
        <f>F11*180</f>
        <v>1702620</v>
      </c>
      <c r="H11" s="86">
        <v>0</v>
      </c>
      <c r="I11" s="87">
        <f t="shared" si="1"/>
        <v>0</v>
      </c>
      <c r="J11" s="86">
        <f t="shared" si="2"/>
        <v>64162</v>
      </c>
      <c r="K11" s="91">
        <f t="shared" si="3"/>
        <v>6994340</v>
      </c>
      <c r="L11" s="11" t="s">
        <v>15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211" customFormat="1" ht="19.5" customHeight="1" x14ac:dyDescent="0.25">
      <c r="A12" s="505" t="s">
        <v>370</v>
      </c>
      <c r="B12" s="548">
        <v>7406</v>
      </c>
      <c r="C12" s="266">
        <f>B12*145</f>
        <v>1073870</v>
      </c>
      <c r="D12" s="90">
        <v>601</v>
      </c>
      <c r="E12" s="90">
        <f t="shared" si="0"/>
        <v>84140</v>
      </c>
      <c r="F12" s="90">
        <v>0</v>
      </c>
      <c r="G12" s="266">
        <f>F12*190</f>
        <v>0</v>
      </c>
      <c r="H12" s="90">
        <v>0</v>
      </c>
      <c r="I12" s="214">
        <f t="shared" si="1"/>
        <v>0</v>
      </c>
      <c r="J12" s="90">
        <f t="shared" si="2"/>
        <v>8007</v>
      </c>
      <c r="K12" s="266">
        <f t="shared" si="3"/>
        <v>1158010</v>
      </c>
      <c r="L12" s="507" t="s">
        <v>371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s="447" customFormat="1" ht="18.75" customHeight="1" x14ac:dyDescent="0.25">
      <c r="A13" s="495" t="s">
        <v>4</v>
      </c>
      <c r="B13" s="547">
        <v>239537</v>
      </c>
      <c r="C13" s="91">
        <f>B13*170</f>
        <v>40721290</v>
      </c>
      <c r="D13" s="86">
        <v>76928</v>
      </c>
      <c r="E13" s="86">
        <f t="shared" si="0"/>
        <v>10769920</v>
      </c>
      <c r="F13" s="86">
        <v>27337</v>
      </c>
      <c r="G13" s="91">
        <f>F13*180</f>
        <v>4920660</v>
      </c>
      <c r="H13" s="86">
        <v>195</v>
      </c>
      <c r="I13" s="87">
        <f>H13*2660</f>
        <v>518700</v>
      </c>
      <c r="J13" s="86">
        <f t="shared" si="2"/>
        <v>343997</v>
      </c>
      <c r="K13" s="91">
        <f t="shared" si="3"/>
        <v>56930570</v>
      </c>
      <c r="L13" s="11" t="s">
        <v>16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211" customFormat="1" ht="16.5" customHeight="1" x14ac:dyDescent="0.25">
      <c r="A14" s="505" t="s">
        <v>5</v>
      </c>
      <c r="B14" s="548">
        <v>31479</v>
      </c>
      <c r="C14" s="266">
        <f>B14*140</f>
        <v>4407060</v>
      </c>
      <c r="D14" s="90">
        <v>12341</v>
      </c>
      <c r="E14" s="90">
        <f t="shared" si="0"/>
        <v>1727740</v>
      </c>
      <c r="F14" s="90">
        <v>8974</v>
      </c>
      <c r="G14" s="266">
        <f>F14*190</f>
        <v>1705060</v>
      </c>
      <c r="H14" s="90">
        <v>0</v>
      </c>
      <c r="I14" s="214">
        <f t="shared" si="1"/>
        <v>0</v>
      </c>
      <c r="J14" s="90">
        <f t="shared" si="2"/>
        <v>52794</v>
      </c>
      <c r="K14" s="266">
        <f t="shared" si="3"/>
        <v>7839860</v>
      </c>
      <c r="L14" s="507" t="s">
        <v>23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447" customFormat="1" ht="18" customHeight="1" x14ac:dyDescent="0.25">
      <c r="A15" s="495" t="s">
        <v>6</v>
      </c>
      <c r="B15" s="547">
        <v>24013</v>
      </c>
      <c r="C15" s="91">
        <f>B15*130</f>
        <v>3121690</v>
      </c>
      <c r="D15" s="86">
        <v>302</v>
      </c>
      <c r="E15" s="86">
        <f t="shared" si="0"/>
        <v>42280</v>
      </c>
      <c r="F15" s="86">
        <v>9756</v>
      </c>
      <c r="G15" s="91">
        <f>F15*175</f>
        <v>1707300</v>
      </c>
      <c r="H15" s="86">
        <v>0</v>
      </c>
      <c r="I15" s="87">
        <f t="shared" si="1"/>
        <v>0</v>
      </c>
      <c r="J15" s="86">
        <f t="shared" si="2"/>
        <v>34071</v>
      </c>
      <c r="K15" s="91">
        <f t="shared" si="3"/>
        <v>4871270</v>
      </c>
      <c r="L15" s="11" t="s">
        <v>24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s="211" customFormat="1" ht="15" customHeight="1" x14ac:dyDescent="0.25">
      <c r="A16" s="505" t="s">
        <v>11</v>
      </c>
      <c r="B16" s="548">
        <v>38267</v>
      </c>
      <c r="C16" s="266">
        <f>B16*120</f>
        <v>4592040</v>
      </c>
      <c r="D16" s="90">
        <v>5649</v>
      </c>
      <c r="E16" s="90">
        <f t="shared" si="0"/>
        <v>790860</v>
      </c>
      <c r="F16" s="90">
        <v>375</v>
      </c>
      <c r="G16" s="266">
        <f>F16*160</f>
        <v>60000</v>
      </c>
      <c r="H16" s="90">
        <v>0</v>
      </c>
      <c r="I16" s="214">
        <f t="shared" si="1"/>
        <v>0</v>
      </c>
      <c r="J16" s="90">
        <f t="shared" si="2"/>
        <v>44291</v>
      </c>
      <c r="K16" s="266">
        <f t="shared" si="3"/>
        <v>5442900</v>
      </c>
      <c r="L16" s="507" t="s">
        <v>21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447" customFormat="1" ht="25.5" customHeight="1" x14ac:dyDescent="0.25">
      <c r="A17" s="495" t="s">
        <v>2</v>
      </c>
      <c r="B17" s="547">
        <v>13353</v>
      </c>
      <c r="C17" s="91">
        <f>B17*215</f>
        <v>2870895</v>
      </c>
      <c r="D17" s="86">
        <v>13102</v>
      </c>
      <c r="E17" s="86">
        <f t="shared" si="0"/>
        <v>1834280</v>
      </c>
      <c r="F17" s="86">
        <v>96738</v>
      </c>
      <c r="G17" s="91">
        <f>F17*190</f>
        <v>18380220</v>
      </c>
      <c r="H17" s="86">
        <v>494</v>
      </c>
      <c r="I17" s="512">
        <f>H17*2138</f>
        <v>1056172</v>
      </c>
      <c r="J17" s="86">
        <f t="shared" si="2"/>
        <v>123687</v>
      </c>
      <c r="K17" s="91">
        <f t="shared" si="3"/>
        <v>24141567</v>
      </c>
      <c r="L17" s="11" t="s">
        <v>14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211" customFormat="1" ht="20.25" customHeight="1" x14ac:dyDescent="0.25">
      <c r="A18" s="505" t="s">
        <v>7</v>
      </c>
      <c r="B18" s="548">
        <v>34954</v>
      </c>
      <c r="C18" s="266">
        <f>B18*120</f>
        <v>4194480</v>
      </c>
      <c r="D18" s="90">
        <v>312</v>
      </c>
      <c r="E18" s="90">
        <f t="shared" si="0"/>
        <v>43680</v>
      </c>
      <c r="F18" s="90">
        <v>2106</v>
      </c>
      <c r="G18" s="266">
        <f>F18*180</f>
        <v>379080</v>
      </c>
      <c r="H18" s="90">
        <v>0</v>
      </c>
      <c r="I18" s="214">
        <f t="shared" si="1"/>
        <v>0</v>
      </c>
      <c r="J18" s="90">
        <f t="shared" si="2"/>
        <v>37372</v>
      </c>
      <c r="K18" s="266">
        <f t="shared" si="3"/>
        <v>4617240</v>
      </c>
      <c r="L18" s="507" t="s">
        <v>17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s="447" customFormat="1" ht="21" customHeight="1" x14ac:dyDescent="0.25">
      <c r="A19" s="495" t="s">
        <v>8</v>
      </c>
      <c r="B19" s="547">
        <v>17462</v>
      </c>
      <c r="C19" s="91">
        <f>B19*125</f>
        <v>2182750</v>
      </c>
      <c r="D19" s="86">
        <v>0</v>
      </c>
      <c r="E19" s="86">
        <f t="shared" si="0"/>
        <v>0</v>
      </c>
      <c r="F19" s="86">
        <v>0</v>
      </c>
      <c r="G19" s="91">
        <f>F19*180</f>
        <v>0</v>
      </c>
      <c r="H19" s="86">
        <v>0</v>
      </c>
      <c r="I19" s="87">
        <f t="shared" si="1"/>
        <v>0</v>
      </c>
      <c r="J19" s="86">
        <f t="shared" si="2"/>
        <v>17462</v>
      </c>
      <c r="K19" s="91">
        <f t="shared" si="3"/>
        <v>2182750</v>
      </c>
      <c r="L19" s="11" t="s">
        <v>18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s="211" customFormat="1" ht="24" customHeight="1" x14ac:dyDescent="0.25">
      <c r="A20" s="505" t="s">
        <v>9</v>
      </c>
      <c r="B20" s="548">
        <v>14897</v>
      </c>
      <c r="C20" s="266">
        <f>B20*100</f>
        <v>1489700</v>
      </c>
      <c r="D20" s="90">
        <v>55</v>
      </c>
      <c r="E20" s="90">
        <f t="shared" si="0"/>
        <v>7700</v>
      </c>
      <c r="F20" s="90">
        <v>5981</v>
      </c>
      <c r="G20" s="266">
        <f>F20*180</f>
        <v>1076580</v>
      </c>
      <c r="H20" s="90">
        <v>0</v>
      </c>
      <c r="I20" s="214">
        <f t="shared" si="1"/>
        <v>0</v>
      </c>
      <c r="J20" s="90">
        <f t="shared" si="2"/>
        <v>20933</v>
      </c>
      <c r="K20" s="266">
        <f t="shared" si="3"/>
        <v>2573980</v>
      </c>
      <c r="L20" s="507" t="s">
        <v>19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s="447" customFormat="1" ht="18.75" customHeight="1" x14ac:dyDescent="0.25">
      <c r="A21" s="495" t="s">
        <v>10</v>
      </c>
      <c r="B21" s="547">
        <v>41758</v>
      </c>
      <c r="C21" s="91">
        <f>B21*120</f>
        <v>5010960</v>
      </c>
      <c r="D21" s="86">
        <v>19527</v>
      </c>
      <c r="E21" s="86">
        <f t="shared" si="0"/>
        <v>2733780</v>
      </c>
      <c r="F21" s="86">
        <v>16657</v>
      </c>
      <c r="G21" s="91">
        <f>F21*140</f>
        <v>2331980</v>
      </c>
      <c r="H21" s="86">
        <v>0</v>
      </c>
      <c r="I21" s="87">
        <f t="shared" si="1"/>
        <v>0</v>
      </c>
      <c r="J21" s="86">
        <f t="shared" si="2"/>
        <v>77942</v>
      </c>
      <c r="K21" s="91">
        <f t="shared" si="3"/>
        <v>10076720</v>
      </c>
      <c r="L21" s="11" t="s">
        <v>20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s="211" customFormat="1" ht="19.5" customHeight="1" x14ac:dyDescent="0.25">
      <c r="A22" s="505" t="s">
        <v>12</v>
      </c>
      <c r="B22" s="548">
        <v>15331</v>
      </c>
      <c r="C22" s="266">
        <f>B22*110</f>
        <v>1686410</v>
      </c>
      <c r="D22" s="90">
        <v>0</v>
      </c>
      <c r="E22" s="90">
        <f t="shared" si="0"/>
        <v>0</v>
      </c>
      <c r="F22" s="90">
        <v>0</v>
      </c>
      <c r="G22" s="266">
        <f>F22*150</f>
        <v>0</v>
      </c>
      <c r="H22" s="90">
        <v>0</v>
      </c>
      <c r="I22" s="214">
        <f t="shared" si="1"/>
        <v>0</v>
      </c>
      <c r="J22" s="90">
        <f t="shared" si="2"/>
        <v>15331</v>
      </c>
      <c r="K22" s="266">
        <f t="shared" si="3"/>
        <v>1686410</v>
      </c>
      <c r="L22" s="507" t="s">
        <v>25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47" s="447" customFormat="1" ht="15" customHeight="1" thickBot="1" x14ac:dyDescent="0.3">
      <c r="A23" s="495" t="s">
        <v>13</v>
      </c>
      <c r="B23" s="547">
        <v>42593</v>
      </c>
      <c r="C23" s="91">
        <f>B23*140</f>
        <v>5963020</v>
      </c>
      <c r="D23" s="86">
        <v>0</v>
      </c>
      <c r="E23" s="86">
        <f t="shared" si="0"/>
        <v>0</v>
      </c>
      <c r="F23" s="86">
        <v>11827</v>
      </c>
      <c r="G23" s="91">
        <f>F23*160</f>
        <v>1892320</v>
      </c>
      <c r="H23" s="86">
        <v>0</v>
      </c>
      <c r="I23" s="87">
        <f t="shared" si="1"/>
        <v>0</v>
      </c>
      <c r="J23" s="86">
        <f t="shared" si="2"/>
        <v>54420</v>
      </c>
      <c r="K23" s="91">
        <f t="shared" si="3"/>
        <v>7855340</v>
      </c>
      <c r="L23" s="11" t="s">
        <v>22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1:47" s="690" customFormat="1" ht="16.5" customHeight="1" thickBot="1" x14ac:dyDescent="0.3">
      <c r="A24" s="552" t="s">
        <v>0</v>
      </c>
      <c r="B24" s="780">
        <f t="shared" ref="B24:J24" si="4">SUM(B9:B23)</f>
        <v>585275</v>
      </c>
      <c r="C24" s="780">
        <f>SUM(C9:C23)</f>
        <v>84952425</v>
      </c>
      <c r="D24" s="780">
        <f t="shared" si="4"/>
        <v>136186</v>
      </c>
      <c r="E24" s="780">
        <f t="shared" si="4"/>
        <v>19066040</v>
      </c>
      <c r="F24" s="780">
        <f t="shared" si="4"/>
        <v>189210</v>
      </c>
      <c r="G24" s="780">
        <f t="shared" si="4"/>
        <v>34155820</v>
      </c>
      <c r="H24" s="780">
        <f t="shared" si="4"/>
        <v>689</v>
      </c>
      <c r="I24" s="809">
        <f t="shared" si="4"/>
        <v>1574872</v>
      </c>
      <c r="J24" s="780">
        <f t="shared" si="4"/>
        <v>911360</v>
      </c>
      <c r="K24" s="781">
        <f>SUM(K9:K23)</f>
        <v>139749157</v>
      </c>
      <c r="L24" s="553" t="s">
        <v>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7" customFormat="1" ht="24" customHeight="1" thickTop="1" x14ac:dyDescent="0.2">
      <c r="A25" s="862"/>
      <c r="B25" s="862"/>
      <c r="C25" s="862"/>
      <c r="D25" s="862"/>
      <c r="E25" s="862"/>
      <c r="F25" s="862"/>
      <c r="G25" s="505"/>
      <c r="H25" s="505"/>
      <c r="I25" s="90"/>
      <c r="J25" s="90"/>
      <c r="K25" s="90"/>
      <c r="L25" s="39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ht="14.25" x14ac:dyDescent="0.2">
      <c r="C26" s="8"/>
      <c r="D26" s="8"/>
      <c r="E26" s="269"/>
      <c r="F26" s="8"/>
      <c r="G26" s="8"/>
      <c r="H26" s="8"/>
      <c r="L26" s="258"/>
    </row>
    <row r="27" spans="1:47" ht="18" customHeight="1" x14ac:dyDescent="0.25">
      <c r="A27" s="402"/>
      <c r="B27" s="402"/>
      <c r="J27" s="237"/>
      <c r="K27" s="82"/>
      <c r="L27" s="395"/>
    </row>
  </sheetData>
  <mergeCells count="6">
    <mergeCell ref="A4:B4"/>
    <mergeCell ref="A1:F1"/>
    <mergeCell ref="A25:F25"/>
    <mergeCell ref="J5:K5"/>
    <mergeCell ref="J6:K6"/>
    <mergeCell ref="A2:H2"/>
  </mergeCells>
  <phoneticPr fontId="3" type="noConversion"/>
  <printOptions horizontalCentered="1" verticalCentered="1"/>
  <pageMargins left="0.2" right="0.2" top="0.43" bottom="0.98425196850393704" header="0.87" footer="0.73"/>
  <pageSetup scale="98" orientation="landscape" verticalDpi="300" r:id="rId1"/>
  <headerFooter alignWithMargins="0">
    <oddFooter>&amp;C25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6"/>
  <sheetViews>
    <sheetView rightToLeft="1" view="pageLayout" zoomScaleNormal="93" zoomScaleSheetLayoutView="100" workbookViewId="0">
      <selection activeCell="A24" sqref="A24:XFD24"/>
    </sheetView>
  </sheetViews>
  <sheetFormatPr defaultRowHeight="12.75" x14ac:dyDescent="0.2"/>
  <cols>
    <col min="1" max="1" width="10.28515625" customWidth="1"/>
    <col min="2" max="2" width="8.140625" customWidth="1"/>
    <col min="3" max="3" width="14.5703125" customWidth="1"/>
    <col min="4" max="4" width="9.42578125" customWidth="1"/>
    <col min="5" max="5" width="17.140625" customWidth="1"/>
    <col min="7" max="7" width="12.7109375" customWidth="1"/>
    <col min="8" max="8" width="9" customWidth="1"/>
    <col min="9" max="9" width="15.140625" customWidth="1"/>
    <col min="10" max="10" width="15" customWidth="1"/>
  </cols>
  <sheetData>
    <row r="1" spans="1:10" ht="15" x14ac:dyDescent="0.2">
      <c r="A1" s="821" t="s">
        <v>511</v>
      </c>
      <c r="B1" s="821"/>
      <c r="C1" s="821"/>
      <c r="D1" s="821"/>
      <c r="E1" s="821"/>
      <c r="F1" s="821"/>
      <c r="G1" s="821"/>
      <c r="H1" s="821"/>
      <c r="I1" s="821"/>
      <c r="J1" s="821"/>
    </row>
    <row r="2" spans="1:10" ht="13.5" customHeight="1" x14ac:dyDescent="0.2">
      <c r="A2" s="866" t="s">
        <v>424</v>
      </c>
      <c r="B2" s="866"/>
      <c r="C2" s="866"/>
      <c r="D2" s="866"/>
      <c r="E2" s="866"/>
      <c r="F2" s="866"/>
      <c r="G2" s="866"/>
      <c r="H2" s="866"/>
      <c r="I2" s="866"/>
      <c r="J2" s="335" t="s">
        <v>332</v>
      </c>
    </row>
    <row r="3" spans="1:10" ht="15.75" customHeight="1" x14ac:dyDescent="0.25">
      <c r="A3" s="42"/>
      <c r="B3" s="42"/>
      <c r="C3" s="42"/>
      <c r="D3" s="42"/>
      <c r="E3" s="42"/>
      <c r="F3" s="42"/>
      <c r="G3" s="42"/>
      <c r="H3" s="42"/>
      <c r="J3" s="334" t="s">
        <v>223</v>
      </c>
    </row>
    <row r="4" spans="1:10" ht="15" customHeight="1" thickBot="1" x14ac:dyDescent="0.3">
      <c r="A4" s="830" t="s">
        <v>480</v>
      </c>
      <c r="B4" s="830"/>
      <c r="C4" s="35" t="s">
        <v>186</v>
      </c>
      <c r="D4" s="26"/>
      <c r="E4" s="26"/>
      <c r="F4" s="21"/>
      <c r="G4" s="827" t="s">
        <v>345</v>
      </c>
      <c r="H4" s="827"/>
      <c r="I4" s="827" t="s">
        <v>346</v>
      </c>
      <c r="J4" s="827"/>
    </row>
    <row r="5" spans="1:10" ht="15" customHeight="1" x14ac:dyDescent="0.25">
      <c r="A5" s="509"/>
      <c r="B5" s="822" t="s">
        <v>230</v>
      </c>
      <c r="C5" s="822"/>
      <c r="D5" s="822" t="s">
        <v>231</v>
      </c>
      <c r="E5" s="822"/>
      <c r="F5" s="822" t="s">
        <v>232</v>
      </c>
      <c r="G5" s="822"/>
      <c r="H5" s="822" t="s">
        <v>234</v>
      </c>
      <c r="I5" s="822"/>
      <c r="J5" s="40"/>
    </row>
    <row r="6" spans="1:10" s="211" customFormat="1" ht="15" customHeight="1" x14ac:dyDescent="0.25">
      <c r="A6" s="563"/>
      <c r="B6" s="865" t="s">
        <v>324</v>
      </c>
      <c r="C6" s="865"/>
      <c r="D6" s="865" t="s">
        <v>242</v>
      </c>
      <c r="E6" s="865"/>
      <c r="F6" s="865" t="s">
        <v>233</v>
      </c>
      <c r="G6" s="865"/>
      <c r="H6" s="528" t="s">
        <v>235</v>
      </c>
      <c r="I6" s="528"/>
      <c r="J6" s="528"/>
    </row>
    <row r="7" spans="1:10" s="211" customFormat="1" ht="15" customHeight="1" x14ac:dyDescent="0.25">
      <c r="A7" s="515"/>
      <c r="B7" s="500" t="s">
        <v>69</v>
      </c>
      <c r="C7" s="500" t="s">
        <v>246</v>
      </c>
      <c r="D7" s="500" t="s">
        <v>69</v>
      </c>
      <c r="E7" s="500" t="s">
        <v>246</v>
      </c>
      <c r="F7" s="500" t="s">
        <v>69</v>
      </c>
      <c r="G7" s="500" t="s">
        <v>246</v>
      </c>
      <c r="H7" s="500" t="s">
        <v>69</v>
      </c>
      <c r="I7" s="500" t="s">
        <v>246</v>
      </c>
      <c r="J7" s="75"/>
    </row>
    <row r="8" spans="1:10" s="557" customFormat="1" ht="15" customHeight="1" thickBot="1" x14ac:dyDescent="0.25">
      <c r="A8" s="554" t="s">
        <v>52</v>
      </c>
      <c r="B8" s="555" t="s">
        <v>139</v>
      </c>
      <c r="C8" s="555" t="s">
        <v>29</v>
      </c>
      <c r="D8" s="555" t="s">
        <v>139</v>
      </c>
      <c r="E8" s="555" t="s">
        <v>29</v>
      </c>
      <c r="F8" s="555" t="s">
        <v>139</v>
      </c>
      <c r="G8" s="555" t="s">
        <v>29</v>
      </c>
      <c r="H8" s="555" t="s">
        <v>139</v>
      </c>
      <c r="I8" s="555" t="s">
        <v>29</v>
      </c>
      <c r="J8" s="556" t="s">
        <v>26</v>
      </c>
    </row>
    <row r="9" spans="1:10" s="549" customFormat="1" ht="15.6" customHeight="1" x14ac:dyDescent="0.25">
      <c r="A9" s="16" t="s">
        <v>395</v>
      </c>
      <c r="B9" s="86">
        <v>12</v>
      </c>
      <c r="C9" s="87">
        <f>B9*640</f>
        <v>7680</v>
      </c>
      <c r="D9" s="86">
        <v>339</v>
      </c>
      <c r="E9" s="87">
        <f>D9*455</f>
        <v>154245</v>
      </c>
      <c r="F9" s="86">
        <v>37</v>
      </c>
      <c r="G9" s="87">
        <f>F9*380</f>
        <v>14060</v>
      </c>
      <c r="H9" s="86">
        <f>B9+D9+F9</f>
        <v>388</v>
      </c>
      <c r="I9" s="87">
        <f>C9+E9+G9</f>
        <v>175985</v>
      </c>
      <c r="J9" s="17" t="s">
        <v>397</v>
      </c>
    </row>
    <row r="10" spans="1:10" s="7" customFormat="1" ht="15.6" customHeight="1" x14ac:dyDescent="0.25">
      <c r="A10" s="510" t="s">
        <v>30</v>
      </c>
      <c r="B10" s="88">
        <v>246</v>
      </c>
      <c r="C10" s="89">
        <f>B10*500</f>
        <v>123000</v>
      </c>
      <c r="D10" s="88">
        <v>3222</v>
      </c>
      <c r="E10" s="89">
        <f>D10*440</f>
        <v>1417680</v>
      </c>
      <c r="F10" s="88">
        <v>1914</v>
      </c>
      <c r="G10" s="89">
        <f>F10*388</f>
        <v>742632</v>
      </c>
      <c r="H10" s="88">
        <f t="shared" ref="H10:H23" si="0">B10+D10+F10</f>
        <v>5382</v>
      </c>
      <c r="I10" s="89">
        <f t="shared" ref="I10:I23" si="1">C10+E10+G10</f>
        <v>2283312</v>
      </c>
      <c r="J10" s="59" t="s">
        <v>31</v>
      </c>
    </row>
    <row r="11" spans="1:10" s="447" customFormat="1" ht="15.6" customHeight="1" x14ac:dyDescent="0.25">
      <c r="A11" s="36" t="s">
        <v>3</v>
      </c>
      <c r="B11" s="86">
        <v>2391</v>
      </c>
      <c r="C11" s="87">
        <f>B11*600</f>
        <v>1434600</v>
      </c>
      <c r="D11" s="86">
        <v>2465</v>
      </c>
      <c r="E11" s="87">
        <f>D11*460</f>
        <v>1133900</v>
      </c>
      <c r="F11" s="86">
        <v>0</v>
      </c>
      <c r="G11" s="87">
        <f>F11*367</f>
        <v>0</v>
      </c>
      <c r="H11" s="86">
        <f t="shared" si="0"/>
        <v>4856</v>
      </c>
      <c r="I11" s="87">
        <f t="shared" si="1"/>
        <v>2568500</v>
      </c>
      <c r="J11" s="57" t="s">
        <v>15</v>
      </c>
    </row>
    <row r="12" spans="1:10" ht="15.6" customHeight="1" x14ac:dyDescent="0.25">
      <c r="A12" s="18" t="s">
        <v>381</v>
      </c>
      <c r="B12" s="88">
        <v>290</v>
      </c>
      <c r="C12" s="89">
        <f>B12*800</f>
        <v>232000</v>
      </c>
      <c r="D12" s="88">
        <v>198</v>
      </c>
      <c r="E12" s="89">
        <f>D12*699</f>
        <v>138402</v>
      </c>
      <c r="F12" s="88">
        <v>0</v>
      </c>
      <c r="G12" s="89">
        <f>F12*440</f>
        <v>0</v>
      </c>
      <c r="H12" s="88">
        <f t="shared" si="0"/>
        <v>488</v>
      </c>
      <c r="I12" s="89">
        <f t="shared" si="1"/>
        <v>370402</v>
      </c>
      <c r="J12" s="20" t="s">
        <v>371</v>
      </c>
    </row>
    <row r="13" spans="1:10" s="447" customFormat="1" ht="15.6" customHeight="1" x14ac:dyDescent="0.25">
      <c r="A13" s="36" t="s">
        <v>4</v>
      </c>
      <c r="B13" s="86">
        <v>1519</v>
      </c>
      <c r="C13" s="87">
        <f>B13*950</f>
        <v>1443050</v>
      </c>
      <c r="D13" s="86">
        <v>2665</v>
      </c>
      <c r="E13" s="87">
        <f>D14*688</f>
        <v>683184</v>
      </c>
      <c r="F13" s="86">
        <v>89</v>
      </c>
      <c r="G13" s="87">
        <f>F13*590</f>
        <v>52510</v>
      </c>
      <c r="H13" s="86">
        <f t="shared" si="0"/>
        <v>4273</v>
      </c>
      <c r="I13" s="87">
        <f t="shared" si="1"/>
        <v>2178744</v>
      </c>
      <c r="J13" s="17" t="s">
        <v>16</v>
      </c>
    </row>
    <row r="14" spans="1:10" ht="15.6" customHeight="1" x14ac:dyDescent="0.25">
      <c r="A14" s="58" t="s">
        <v>5</v>
      </c>
      <c r="B14" s="90">
        <v>1318</v>
      </c>
      <c r="C14" s="214">
        <f>B14*800</f>
        <v>1054400</v>
      </c>
      <c r="D14" s="90">
        <v>993</v>
      </c>
      <c r="E14" s="214">
        <f>D14*667</f>
        <v>662331</v>
      </c>
      <c r="F14" s="90">
        <v>1133</v>
      </c>
      <c r="G14" s="214">
        <f>F14*400</f>
        <v>453200</v>
      </c>
      <c r="H14" s="88">
        <f t="shared" si="0"/>
        <v>3444</v>
      </c>
      <c r="I14" s="89">
        <f t="shared" si="1"/>
        <v>2169931</v>
      </c>
      <c r="J14" s="59" t="s">
        <v>23</v>
      </c>
    </row>
    <row r="15" spans="1:10" s="447" customFormat="1" ht="15.6" customHeight="1" x14ac:dyDescent="0.25">
      <c r="A15" s="36" t="s">
        <v>6</v>
      </c>
      <c r="B15" s="86">
        <v>1629</v>
      </c>
      <c r="C15" s="87">
        <f>B15*779</f>
        <v>1268991</v>
      </c>
      <c r="D15" s="86">
        <v>4412</v>
      </c>
      <c r="E15" s="87">
        <f>D15*600</f>
        <v>2647200</v>
      </c>
      <c r="F15" s="86">
        <v>36</v>
      </c>
      <c r="G15" s="87">
        <f>F15*400</f>
        <v>14400</v>
      </c>
      <c r="H15" s="86">
        <f t="shared" si="0"/>
        <v>6077</v>
      </c>
      <c r="I15" s="87">
        <f t="shared" si="1"/>
        <v>3930591</v>
      </c>
      <c r="J15" s="17" t="s">
        <v>24</v>
      </c>
    </row>
    <row r="16" spans="1:10" ht="15.6" customHeight="1" x14ac:dyDescent="0.25">
      <c r="A16" s="58" t="s">
        <v>11</v>
      </c>
      <c r="B16" s="90">
        <v>501</v>
      </c>
      <c r="C16" s="214">
        <f>B16*700</f>
        <v>350700</v>
      </c>
      <c r="D16" s="90">
        <v>1168</v>
      </c>
      <c r="E16" s="214">
        <f>D16*500</f>
        <v>584000</v>
      </c>
      <c r="F16" s="90">
        <v>79</v>
      </c>
      <c r="G16" s="214">
        <f>F16*415</f>
        <v>32785</v>
      </c>
      <c r="H16" s="88">
        <f t="shared" si="0"/>
        <v>1748</v>
      </c>
      <c r="I16" s="89">
        <f t="shared" si="1"/>
        <v>967485</v>
      </c>
      <c r="J16" s="59" t="s">
        <v>21</v>
      </c>
    </row>
    <row r="17" spans="1:10" s="447" customFormat="1" ht="15.6" customHeight="1" x14ac:dyDescent="0.25">
      <c r="A17" s="36" t="s">
        <v>2</v>
      </c>
      <c r="B17" s="86">
        <v>1292</v>
      </c>
      <c r="C17" s="87">
        <f>B17*600</f>
        <v>775200</v>
      </c>
      <c r="D17" s="86">
        <v>33833</v>
      </c>
      <c r="E17" s="87">
        <f>D17*554</f>
        <v>18743482</v>
      </c>
      <c r="F17" s="86">
        <v>693</v>
      </c>
      <c r="G17" s="87">
        <f>F17*510</f>
        <v>353430</v>
      </c>
      <c r="H17" s="86">
        <f t="shared" si="0"/>
        <v>35818</v>
      </c>
      <c r="I17" s="87">
        <f t="shared" si="1"/>
        <v>19872112</v>
      </c>
      <c r="J17" s="17" t="s">
        <v>14</v>
      </c>
    </row>
    <row r="18" spans="1:10" ht="15.6" customHeight="1" x14ac:dyDescent="0.25">
      <c r="A18" s="58" t="s">
        <v>7</v>
      </c>
      <c r="B18" s="90">
        <v>3183</v>
      </c>
      <c r="C18" s="214">
        <f>B18*800</f>
        <v>2546400</v>
      </c>
      <c r="D18" s="90">
        <v>4776</v>
      </c>
      <c r="E18" s="214">
        <f>D18*566</f>
        <v>2703216</v>
      </c>
      <c r="F18" s="90">
        <v>0</v>
      </c>
      <c r="G18" s="214">
        <f>F18*415</f>
        <v>0</v>
      </c>
      <c r="H18" s="88">
        <f t="shared" si="0"/>
        <v>7959</v>
      </c>
      <c r="I18" s="89">
        <f t="shared" si="1"/>
        <v>5249616</v>
      </c>
      <c r="J18" s="59" t="s">
        <v>17</v>
      </c>
    </row>
    <row r="19" spans="1:10" s="447" customFormat="1" ht="15.6" customHeight="1" x14ac:dyDescent="0.25">
      <c r="A19" s="36" t="s">
        <v>8</v>
      </c>
      <c r="B19" s="86">
        <v>57</v>
      </c>
      <c r="C19" s="87">
        <f>B19*600</f>
        <v>34200</v>
      </c>
      <c r="D19" s="86">
        <v>132</v>
      </c>
      <c r="E19" s="87">
        <f>D19*500</f>
        <v>66000</v>
      </c>
      <c r="F19" s="86">
        <v>0</v>
      </c>
      <c r="G19" s="87">
        <f>F19*415</f>
        <v>0</v>
      </c>
      <c r="H19" s="86">
        <f t="shared" si="0"/>
        <v>189</v>
      </c>
      <c r="I19" s="87">
        <f t="shared" si="1"/>
        <v>100200</v>
      </c>
      <c r="J19" s="17" t="s">
        <v>18</v>
      </c>
    </row>
    <row r="20" spans="1:10" ht="15.6" customHeight="1" x14ac:dyDescent="0.25">
      <c r="A20" s="58" t="s">
        <v>9</v>
      </c>
      <c r="B20" s="90">
        <v>87</v>
      </c>
      <c r="C20" s="214">
        <f>B20*530</f>
        <v>46110</v>
      </c>
      <c r="D20" s="90">
        <v>329</v>
      </c>
      <c r="E20" s="214">
        <f>D20*480</f>
        <v>157920</v>
      </c>
      <c r="F20" s="90">
        <v>356</v>
      </c>
      <c r="G20" s="214">
        <f>F20*415</f>
        <v>147740</v>
      </c>
      <c r="H20" s="88">
        <f t="shared" si="0"/>
        <v>772</v>
      </c>
      <c r="I20" s="89">
        <f t="shared" si="1"/>
        <v>351770</v>
      </c>
      <c r="J20" s="59" t="s">
        <v>19</v>
      </c>
    </row>
    <row r="21" spans="1:10" s="447" customFormat="1" ht="15.6" customHeight="1" x14ac:dyDescent="0.25">
      <c r="A21" s="36" t="s">
        <v>10</v>
      </c>
      <c r="B21" s="86">
        <v>2912</v>
      </c>
      <c r="C21" s="87">
        <f>B21*700</f>
        <v>2038400</v>
      </c>
      <c r="D21" s="86">
        <v>5689</v>
      </c>
      <c r="E21" s="87">
        <f>D21*600</f>
        <v>3413400</v>
      </c>
      <c r="F21" s="86">
        <v>332</v>
      </c>
      <c r="G21" s="87">
        <f>F21*400</f>
        <v>132800</v>
      </c>
      <c r="H21" s="86">
        <f t="shared" si="0"/>
        <v>8933</v>
      </c>
      <c r="I21" s="87">
        <f t="shared" si="1"/>
        <v>5584600</v>
      </c>
      <c r="J21" s="17" t="s">
        <v>20</v>
      </c>
    </row>
    <row r="22" spans="1:10" ht="15.6" customHeight="1" x14ac:dyDescent="0.25">
      <c r="A22" s="58" t="s">
        <v>12</v>
      </c>
      <c r="B22" s="90">
        <v>0</v>
      </c>
      <c r="C22" s="214">
        <f>B22*700</f>
        <v>0</v>
      </c>
      <c r="D22" s="90">
        <v>204</v>
      </c>
      <c r="E22" s="214">
        <f>D22*500</f>
        <v>102000</v>
      </c>
      <c r="F22" s="90">
        <v>298</v>
      </c>
      <c r="G22" s="214">
        <f>F22*300</f>
        <v>89400</v>
      </c>
      <c r="H22" s="88">
        <f t="shared" si="0"/>
        <v>502</v>
      </c>
      <c r="I22" s="89">
        <f t="shared" si="1"/>
        <v>191400</v>
      </c>
      <c r="J22" s="59" t="s">
        <v>25</v>
      </c>
    </row>
    <row r="23" spans="1:10" s="447" customFormat="1" ht="15.6" customHeight="1" thickBot="1" x14ac:dyDescent="0.3">
      <c r="A23" s="36" t="s">
        <v>13</v>
      </c>
      <c r="B23" s="86">
        <v>2770</v>
      </c>
      <c r="C23" s="87">
        <f>B23*800</f>
        <v>2216000</v>
      </c>
      <c r="D23" s="86">
        <v>3368</v>
      </c>
      <c r="E23" s="87">
        <f>D23*600</f>
        <v>2020800</v>
      </c>
      <c r="F23" s="86">
        <v>11248</v>
      </c>
      <c r="G23" s="87">
        <f>F23*400</f>
        <v>4499200</v>
      </c>
      <c r="H23" s="86">
        <f t="shared" si="0"/>
        <v>17386</v>
      </c>
      <c r="I23" s="87">
        <f t="shared" si="1"/>
        <v>8736000</v>
      </c>
      <c r="J23" s="17" t="s">
        <v>22</v>
      </c>
    </row>
    <row r="24" spans="1:10" s="562" customFormat="1" ht="22.5" customHeight="1" thickBot="1" x14ac:dyDescent="0.3">
      <c r="A24" s="558" t="s">
        <v>0</v>
      </c>
      <c r="B24" s="559">
        <f t="shared" ref="B24:I24" si="2">SUM(B9:B23)</f>
        <v>18207</v>
      </c>
      <c r="C24" s="559">
        <f t="shared" si="2"/>
        <v>13570731</v>
      </c>
      <c r="D24" s="559">
        <f t="shared" si="2"/>
        <v>63793</v>
      </c>
      <c r="E24" s="772">
        <f t="shared" si="2"/>
        <v>34627760</v>
      </c>
      <c r="F24" s="559">
        <f t="shared" si="2"/>
        <v>16215</v>
      </c>
      <c r="G24" s="559">
        <f t="shared" si="2"/>
        <v>6532157</v>
      </c>
      <c r="H24" s="559">
        <f t="shared" si="2"/>
        <v>98215</v>
      </c>
      <c r="I24" s="560">
        <f t="shared" si="2"/>
        <v>54730648</v>
      </c>
      <c r="J24" s="561" t="s">
        <v>1</v>
      </c>
    </row>
    <row r="25" spans="1:10" ht="15" x14ac:dyDescent="0.25">
      <c r="A25" s="862"/>
      <c r="B25" s="862"/>
      <c r="C25" s="862"/>
      <c r="D25" s="862"/>
      <c r="E25" s="862"/>
      <c r="F25" s="862"/>
      <c r="G25" s="862"/>
      <c r="H25" s="862"/>
      <c r="J25" s="62"/>
    </row>
    <row r="26" spans="1:10" ht="15" customHeight="1" x14ac:dyDescent="0.2">
      <c r="I26" s="84"/>
      <c r="J26" s="60"/>
    </row>
  </sheetData>
  <mergeCells count="13">
    <mergeCell ref="B6:C6"/>
    <mergeCell ref="D6:E6"/>
    <mergeCell ref="F6:G6"/>
    <mergeCell ref="A25:H25"/>
    <mergeCell ref="A1:J1"/>
    <mergeCell ref="I4:J4"/>
    <mergeCell ref="A4:B4"/>
    <mergeCell ref="B5:C5"/>
    <mergeCell ref="D5:E5"/>
    <mergeCell ref="F5:G5"/>
    <mergeCell ref="H5:I5"/>
    <mergeCell ref="G4:H4"/>
    <mergeCell ref="A2:I2"/>
  </mergeCells>
  <phoneticPr fontId="3" type="noConversion"/>
  <printOptions horizontalCentered="1" verticalCentered="1"/>
  <pageMargins left="0.42" right="0.84" top="0" bottom="0.98425196850393704" header="0.78740157480314998" footer="0.511811023622047"/>
  <pageSetup orientation="landscape" verticalDpi="300" r:id="rId1"/>
  <headerFooter alignWithMargins="0">
    <oddFooter>&amp;C26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5:H38"/>
  <sheetViews>
    <sheetView rightToLeft="1" showWhiteSpace="0" view="pageLayout" topLeftCell="B1" zoomScale="75" zoomScaleSheetLayoutView="100" zoomScalePageLayoutView="75" workbookViewId="0">
      <selection activeCell="J72" sqref="J72"/>
    </sheetView>
  </sheetViews>
  <sheetFormatPr defaultRowHeight="12.75" x14ac:dyDescent="0.2"/>
  <cols>
    <col min="1" max="1" width="1.28515625" hidden="1" customWidth="1"/>
    <col min="2" max="2" width="5.7109375" customWidth="1"/>
    <col min="3" max="3" width="15.85546875" customWidth="1"/>
    <col min="4" max="4" width="11.85546875" customWidth="1"/>
    <col min="5" max="5" width="22.42578125" customWidth="1"/>
    <col min="6" max="6" width="19.85546875" customWidth="1"/>
    <col min="7" max="7" width="20" customWidth="1"/>
    <col min="8" max="8" width="17.85546875" customWidth="1"/>
    <col min="9" max="9" width="4.5703125" customWidth="1"/>
    <col min="10" max="10" width="9.140625" customWidth="1"/>
  </cols>
  <sheetData>
    <row r="35" spans="8:8" x14ac:dyDescent="0.2">
      <c r="H35" s="333"/>
    </row>
    <row r="36" spans="8:8" ht="11.25" customHeight="1" x14ac:dyDescent="0.2">
      <c r="H36" s="333"/>
    </row>
    <row r="37" spans="8:8" ht="13.5" customHeight="1" x14ac:dyDescent="0.2">
      <c r="H37" s="333"/>
    </row>
    <row r="38" spans="8:8" ht="15" customHeight="1" x14ac:dyDescent="0.2">
      <c r="H38" s="333"/>
    </row>
  </sheetData>
  <phoneticPr fontId="3" type="noConversion"/>
  <printOptions horizontalCentered="1" verticalCentered="1"/>
  <pageMargins left="0.52" right="1.01" top="0.86" bottom="1.1599999999999999" header="0.87" footer="0.6"/>
  <pageSetup scale="96" orientation="landscape" horizontalDpi="4294967293" verticalDpi="300" r:id="rId1"/>
  <headerFooter alignWithMargins="0">
    <oddFooter>&amp;C9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SheetLayoutView="100" workbookViewId="0">
      <selection activeCell="I28" sqref="I28"/>
    </sheetView>
  </sheetViews>
  <sheetFormatPr defaultRowHeight="12.75" x14ac:dyDescent="0.2"/>
  <cols>
    <col min="2" max="2" width="7.28515625" customWidth="1"/>
    <col min="4" max="4" width="8.140625" customWidth="1"/>
    <col min="7" max="7" width="7.7109375" customWidth="1"/>
    <col min="9" max="9" width="7.140625" customWidth="1"/>
    <col min="10" max="10" width="7.7109375" customWidth="1"/>
    <col min="12" max="12" width="11" customWidth="1"/>
  </cols>
  <sheetData/>
  <phoneticPr fontId="3" type="noConversion"/>
  <pageMargins left="0.33" right="0.89" top="1" bottom="1" header="0.5" footer="0.5"/>
  <pageSetup scale="95" orientation="landscape" horizontalDpi="4294967293" verticalDpi="1200" r:id="rId1"/>
  <headerFooter alignWithMargins="0">
    <oddFooter>&amp;C27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0"/>
  <sheetViews>
    <sheetView rightToLeft="1" view="pageBreakPreview" zoomScaleSheetLayoutView="100" workbookViewId="0">
      <selection activeCell="K25" sqref="K25"/>
    </sheetView>
  </sheetViews>
  <sheetFormatPr defaultRowHeight="12.75" x14ac:dyDescent="0.2"/>
  <cols>
    <col min="1" max="1" width="11.140625" customWidth="1"/>
    <col min="2" max="2" width="12" customWidth="1"/>
    <col min="3" max="3" width="15" customWidth="1"/>
    <col min="4" max="4" width="12.5703125" customWidth="1"/>
    <col min="5" max="5" width="14.42578125" customWidth="1"/>
    <col min="6" max="6" width="12.42578125" customWidth="1"/>
    <col min="7" max="7" width="15.42578125" customWidth="1"/>
    <col min="8" max="8" width="21" customWidth="1"/>
    <col min="9" max="9" width="9.42578125" customWidth="1"/>
  </cols>
  <sheetData>
    <row r="1" spans="1:8" ht="15" x14ac:dyDescent="0.2">
      <c r="A1" s="821" t="s">
        <v>506</v>
      </c>
      <c r="B1" s="821"/>
      <c r="C1" s="821"/>
      <c r="D1" s="821"/>
      <c r="E1" s="821"/>
      <c r="F1" s="821"/>
      <c r="G1" s="821"/>
      <c r="H1" s="821"/>
    </row>
    <row r="2" spans="1:8" x14ac:dyDescent="0.2">
      <c r="A2" s="823" t="s">
        <v>425</v>
      </c>
      <c r="B2" s="823"/>
      <c r="C2" s="823"/>
      <c r="D2" s="823"/>
      <c r="E2" s="823"/>
      <c r="F2" s="823"/>
      <c r="G2" s="823"/>
      <c r="H2" s="823"/>
    </row>
    <row r="3" spans="1:8" x14ac:dyDescent="0.2">
      <c r="A3" s="823"/>
      <c r="B3" s="823"/>
      <c r="C3" s="823"/>
      <c r="D3" s="823"/>
      <c r="E3" s="823"/>
      <c r="F3" s="823"/>
      <c r="G3" s="823"/>
      <c r="H3" s="823"/>
    </row>
    <row r="4" spans="1:8" s="7" customFormat="1" ht="15" x14ac:dyDescent="0.25">
      <c r="A4" s="317"/>
      <c r="B4" s="317"/>
      <c r="C4" s="317"/>
      <c r="D4" s="317"/>
      <c r="E4" s="317"/>
      <c r="F4" s="317"/>
      <c r="G4" s="848" t="s">
        <v>223</v>
      </c>
      <c r="H4" s="848"/>
    </row>
    <row r="5" spans="1:8" ht="15" customHeight="1" thickBot="1" x14ac:dyDescent="0.3">
      <c r="A5" s="840" t="s">
        <v>481</v>
      </c>
      <c r="B5" s="840"/>
      <c r="C5" s="43" t="s">
        <v>241</v>
      </c>
      <c r="E5" s="21"/>
      <c r="F5" s="21"/>
      <c r="G5" s="226" t="s">
        <v>154</v>
      </c>
      <c r="H5" s="345" t="s">
        <v>364</v>
      </c>
    </row>
    <row r="6" spans="1:8" s="494" customFormat="1" ht="15" customHeight="1" x14ac:dyDescent="0.25">
      <c r="A6" s="509"/>
      <c r="B6" s="497" t="s">
        <v>236</v>
      </c>
      <c r="C6" s="497"/>
      <c r="D6" s="497" t="s">
        <v>237</v>
      </c>
      <c r="E6" s="497"/>
      <c r="F6" s="822" t="s">
        <v>239</v>
      </c>
      <c r="G6" s="822"/>
      <c r="H6" s="509"/>
    </row>
    <row r="7" spans="1:8" ht="15" customHeight="1" x14ac:dyDescent="0.25">
      <c r="A7" s="44"/>
      <c r="B7" s="42" t="s">
        <v>325</v>
      </c>
      <c r="C7" s="42"/>
      <c r="D7" s="43" t="s">
        <v>238</v>
      </c>
      <c r="E7" s="42"/>
      <c r="F7" s="811" t="s">
        <v>240</v>
      </c>
      <c r="G7" s="42"/>
      <c r="H7" s="44"/>
    </row>
    <row r="8" spans="1:8" s="211" customFormat="1" ht="15" customHeight="1" thickBot="1" x14ac:dyDescent="0.25">
      <c r="A8" s="528"/>
      <c r="B8" s="217" t="s">
        <v>209</v>
      </c>
      <c r="C8" s="217" t="s">
        <v>246</v>
      </c>
      <c r="D8" s="217" t="s">
        <v>209</v>
      </c>
      <c r="E8" s="217" t="s">
        <v>246</v>
      </c>
      <c r="F8" s="217" t="s">
        <v>209</v>
      </c>
      <c r="G8" s="217" t="s">
        <v>246</v>
      </c>
      <c r="H8" s="528"/>
    </row>
    <row r="9" spans="1:8" s="568" customFormat="1" ht="15" customHeight="1" thickBot="1" x14ac:dyDescent="0.25">
      <c r="A9" s="565" t="s">
        <v>60</v>
      </c>
      <c r="B9" s="566" t="s">
        <v>140</v>
      </c>
      <c r="C9" s="566" t="s">
        <v>29</v>
      </c>
      <c r="D9" s="566" t="s">
        <v>140</v>
      </c>
      <c r="E9" s="566" t="s">
        <v>29</v>
      </c>
      <c r="F9" s="566" t="s">
        <v>140</v>
      </c>
      <c r="G9" s="566" t="s">
        <v>29</v>
      </c>
      <c r="H9" s="567" t="s">
        <v>26</v>
      </c>
    </row>
    <row r="10" spans="1:8" s="550" customFormat="1" ht="15" customHeight="1" x14ac:dyDescent="0.2">
      <c r="A10" s="217" t="s">
        <v>395</v>
      </c>
      <c r="B10" s="56">
        <v>7439</v>
      </c>
      <c r="C10" s="90">
        <f t="shared" ref="C10:C16" si="0">B10*146</f>
        <v>1086094</v>
      </c>
      <c r="D10" s="90">
        <v>1573</v>
      </c>
      <c r="E10" s="90">
        <f>D10*75</f>
        <v>117975</v>
      </c>
      <c r="F10" s="90">
        <f>B10+D10</f>
        <v>9012</v>
      </c>
      <c r="G10" s="90">
        <f>C10+E10</f>
        <v>1204069</v>
      </c>
      <c r="H10" s="507" t="s">
        <v>397</v>
      </c>
    </row>
    <row r="11" spans="1:8" s="447" customFormat="1" ht="15" customHeight="1" x14ac:dyDescent="0.25">
      <c r="A11" s="36" t="s">
        <v>30</v>
      </c>
      <c r="B11" s="86">
        <v>4215</v>
      </c>
      <c r="C11" s="87">
        <f t="shared" si="0"/>
        <v>615390</v>
      </c>
      <c r="D11" s="86">
        <v>82040</v>
      </c>
      <c r="E11" s="86">
        <f t="shared" ref="E11:E17" si="1">D11*75</f>
        <v>6153000</v>
      </c>
      <c r="F11" s="86">
        <f t="shared" ref="F11:F17" si="2">B11+D11</f>
        <v>86255</v>
      </c>
      <c r="G11" s="86">
        <f t="shared" ref="G11:G16" si="3">C11+E11</f>
        <v>6768390</v>
      </c>
      <c r="H11" s="57" t="s">
        <v>31</v>
      </c>
    </row>
    <row r="12" spans="1:8" s="211" customFormat="1" ht="15" customHeight="1" x14ac:dyDescent="0.25">
      <c r="A12" s="503" t="s">
        <v>3</v>
      </c>
      <c r="B12" s="90">
        <v>51697</v>
      </c>
      <c r="C12" s="214">
        <f t="shared" si="0"/>
        <v>7547762</v>
      </c>
      <c r="D12" s="90">
        <v>75548</v>
      </c>
      <c r="E12" s="90">
        <f t="shared" si="1"/>
        <v>5666100</v>
      </c>
      <c r="F12" s="90">
        <f t="shared" si="2"/>
        <v>127245</v>
      </c>
      <c r="G12" s="90">
        <f t="shared" si="3"/>
        <v>13213862</v>
      </c>
      <c r="H12" s="508" t="s">
        <v>15</v>
      </c>
    </row>
    <row r="13" spans="1:8" s="447" customFormat="1" ht="15" customHeight="1" x14ac:dyDescent="0.25">
      <c r="A13" s="16" t="s">
        <v>381</v>
      </c>
      <c r="B13" s="86">
        <v>6747</v>
      </c>
      <c r="C13" s="87">
        <f t="shared" si="0"/>
        <v>985062</v>
      </c>
      <c r="D13" s="86">
        <v>11658</v>
      </c>
      <c r="E13" s="86">
        <f t="shared" si="1"/>
        <v>874350</v>
      </c>
      <c r="F13" s="86">
        <f t="shared" si="2"/>
        <v>18405</v>
      </c>
      <c r="G13" s="86">
        <f t="shared" si="3"/>
        <v>1859412</v>
      </c>
      <c r="H13" s="57" t="s">
        <v>371</v>
      </c>
    </row>
    <row r="14" spans="1:8" s="211" customFormat="1" ht="15" customHeight="1" x14ac:dyDescent="0.25">
      <c r="A14" s="58" t="s">
        <v>4</v>
      </c>
      <c r="B14" s="90">
        <v>162572</v>
      </c>
      <c r="C14" s="214">
        <f t="shared" si="0"/>
        <v>23735512</v>
      </c>
      <c r="D14" s="90">
        <v>0</v>
      </c>
      <c r="E14" s="90">
        <f t="shared" si="1"/>
        <v>0</v>
      </c>
      <c r="F14" s="90">
        <f t="shared" si="2"/>
        <v>162572</v>
      </c>
      <c r="G14" s="90">
        <f t="shared" si="3"/>
        <v>23735512</v>
      </c>
      <c r="H14" s="59" t="s">
        <v>16</v>
      </c>
    </row>
    <row r="15" spans="1:8" s="447" customFormat="1" ht="15" customHeight="1" x14ac:dyDescent="0.25">
      <c r="A15" s="16" t="s">
        <v>6</v>
      </c>
      <c r="B15" s="86">
        <v>0</v>
      </c>
      <c r="C15" s="87">
        <f t="shared" si="0"/>
        <v>0</v>
      </c>
      <c r="D15" s="86">
        <v>2229</v>
      </c>
      <c r="E15" s="86">
        <f t="shared" si="1"/>
        <v>167175</v>
      </c>
      <c r="F15" s="86">
        <f t="shared" si="2"/>
        <v>2229</v>
      </c>
      <c r="G15" s="86">
        <f t="shared" si="3"/>
        <v>167175</v>
      </c>
      <c r="H15" s="57" t="s">
        <v>24</v>
      </c>
    </row>
    <row r="16" spans="1:8" s="211" customFormat="1" ht="15" customHeight="1" thickBot="1" x14ac:dyDescent="0.3">
      <c r="A16" s="58" t="s">
        <v>2</v>
      </c>
      <c r="B16" s="90">
        <v>6513</v>
      </c>
      <c r="C16" s="214">
        <f t="shared" si="0"/>
        <v>950898</v>
      </c>
      <c r="D16" s="90">
        <v>3669</v>
      </c>
      <c r="E16" s="90">
        <f t="shared" si="1"/>
        <v>275175</v>
      </c>
      <c r="F16" s="90">
        <f t="shared" si="2"/>
        <v>10182</v>
      </c>
      <c r="G16" s="90">
        <f t="shared" si="3"/>
        <v>1226073</v>
      </c>
      <c r="H16" s="508" t="s">
        <v>14</v>
      </c>
    </row>
    <row r="17" spans="1:8" s="562" customFormat="1" ht="18.75" customHeight="1" thickBot="1" x14ac:dyDescent="0.25">
      <c r="A17" s="569" t="s">
        <v>0</v>
      </c>
      <c r="B17" s="559">
        <f>SUM(B10:B16)</f>
        <v>239183</v>
      </c>
      <c r="C17" s="559">
        <f>SUM(C10:C16)</f>
        <v>34920718</v>
      </c>
      <c r="D17" s="559">
        <f>SUM(D10:D16)</f>
        <v>176717</v>
      </c>
      <c r="E17" s="559">
        <f t="shared" si="1"/>
        <v>13253775</v>
      </c>
      <c r="F17" s="559">
        <f t="shared" si="2"/>
        <v>415900</v>
      </c>
      <c r="G17" s="559">
        <f>SUM(G10:G16)</f>
        <v>48174493</v>
      </c>
      <c r="H17" s="570" t="s">
        <v>1</v>
      </c>
    </row>
    <row r="18" spans="1:8" ht="15" x14ac:dyDescent="0.2">
      <c r="A18" s="15" t="s">
        <v>327</v>
      </c>
      <c r="B18" s="15"/>
      <c r="C18" s="15"/>
      <c r="D18" s="15"/>
      <c r="E18" s="15"/>
      <c r="F18" s="15"/>
      <c r="G18" s="337"/>
      <c r="H18" s="336"/>
    </row>
    <row r="19" spans="1:8" ht="15" customHeight="1" x14ac:dyDescent="0.2">
      <c r="A19" s="867" t="s">
        <v>439</v>
      </c>
      <c r="B19" s="867"/>
      <c r="C19" s="867"/>
      <c r="D19" s="867"/>
      <c r="E19" s="15"/>
      <c r="F19" s="15"/>
      <c r="G19" s="15"/>
      <c r="H19" s="15"/>
    </row>
    <row r="20" spans="1:8" ht="15" customHeight="1" x14ac:dyDescent="0.2">
      <c r="A20" s="867"/>
      <c r="B20" s="867"/>
      <c r="C20" s="867"/>
      <c r="D20" s="867"/>
      <c r="E20" s="15"/>
      <c r="F20" s="15"/>
      <c r="G20" s="15"/>
      <c r="H20" s="15"/>
    </row>
  </sheetData>
  <mergeCells count="7">
    <mergeCell ref="A19:D19"/>
    <mergeCell ref="A20:D20"/>
    <mergeCell ref="F6:G6"/>
    <mergeCell ref="G4:H4"/>
    <mergeCell ref="A1:H1"/>
    <mergeCell ref="A2:H3"/>
    <mergeCell ref="A5:B5"/>
  </mergeCells>
  <phoneticPr fontId="3" type="noConversion"/>
  <printOptions horizontalCentered="1" verticalCentered="1"/>
  <pageMargins left="0.25" right="0.71" top="9.6874999999999999E-3" bottom="0.75" header="0.35" footer="0.3"/>
  <pageSetup scale="93" orientation="landscape" verticalDpi="300" r:id="rId1"/>
  <headerFooter alignWithMargins="0">
    <oddFooter>&amp;C28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28"/>
  <sheetViews>
    <sheetView rightToLeft="1" view="pageLayout" zoomScaleSheetLayoutView="98" workbookViewId="0">
      <selection activeCell="AP1" sqref="I1:AP26"/>
    </sheetView>
  </sheetViews>
  <sheetFormatPr defaultRowHeight="12.75" x14ac:dyDescent="0.2"/>
  <cols>
    <col min="1" max="1" width="11.28515625" customWidth="1"/>
    <col min="2" max="2" width="11.140625" customWidth="1"/>
    <col min="3" max="3" width="15" customWidth="1"/>
    <col min="4" max="4" width="10.140625" bestFit="1" customWidth="1"/>
    <col min="5" max="5" width="13.28515625" customWidth="1"/>
    <col min="6" max="6" width="11.7109375" customWidth="1"/>
    <col min="7" max="7" width="15.42578125" customWidth="1"/>
    <col min="8" max="8" width="16" customWidth="1"/>
    <col min="9" max="9" width="8.85546875" customWidth="1"/>
    <col min="10" max="10" width="4.140625" hidden="1" customWidth="1"/>
  </cols>
  <sheetData>
    <row r="1" spans="1:42" ht="21" customHeight="1" x14ac:dyDescent="0.2">
      <c r="A1" s="868" t="s">
        <v>433</v>
      </c>
      <c r="B1" s="868"/>
      <c r="C1" s="868"/>
      <c r="D1" s="868"/>
      <c r="E1" s="868"/>
      <c r="F1" s="868"/>
      <c r="G1" s="868"/>
      <c r="H1" s="868"/>
    </row>
    <row r="2" spans="1:42" ht="15" customHeight="1" x14ac:dyDescent="0.2">
      <c r="A2" s="870" t="s">
        <v>425</v>
      </c>
      <c r="B2" s="870"/>
      <c r="C2" s="870"/>
      <c r="D2" s="870"/>
      <c r="E2" s="870"/>
      <c r="F2" s="870"/>
      <c r="G2" s="870"/>
      <c r="H2" s="870"/>
    </row>
    <row r="3" spans="1:42" ht="8.25" customHeight="1" x14ac:dyDescent="0.2">
      <c r="A3" s="870"/>
      <c r="B3" s="870"/>
      <c r="C3" s="870"/>
      <c r="D3" s="870"/>
      <c r="E3" s="870"/>
      <c r="F3" s="870"/>
      <c r="G3" s="870"/>
      <c r="H3" s="870"/>
    </row>
    <row r="4" spans="1:42" ht="20.25" customHeight="1" x14ac:dyDescent="0.25">
      <c r="A4" s="97"/>
      <c r="B4" s="97"/>
      <c r="C4" s="97"/>
      <c r="D4" s="97"/>
      <c r="E4" s="97"/>
      <c r="F4" s="97"/>
      <c r="G4" s="848" t="s">
        <v>223</v>
      </c>
      <c r="H4" s="848"/>
    </row>
    <row r="5" spans="1:42" ht="8.25" customHeight="1" x14ac:dyDescent="0.2">
      <c r="A5" s="97"/>
      <c r="B5" s="97"/>
      <c r="C5" s="97"/>
      <c r="D5" s="97"/>
      <c r="E5" s="97"/>
      <c r="F5" s="97"/>
      <c r="G5" s="97"/>
      <c r="H5" s="97"/>
    </row>
    <row r="6" spans="1:42" ht="21.75" customHeight="1" thickBot="1" x14ac:dyDescent="0.3">
      <c r="A6" s="869" t="s">
        <v>482</v>
      </c>
      <c r="B6" s="869"/>
      <c r="C6" s="93" t="s">
        <v>190</v>
      </c>
      <c r="D6" s="94"/>
      <c r="E6" s="27"/>
      <c r="F6" s="94"/>
      <c r="G6" s="95" t="s">
        <v>292</v>
      </c>
      <c r="H6" s="96" t="s">
        <v>353</v>
      </c>
    </row>
    <row r="7" spans="1:42" ht="15" customHeight="1" x14ac:dyDescent="0.2">
      <c r="A7" s="102"/>
      <c r="B7" s="103" t="s">
        <v>46</v>
      </c>
      <c r="C7" s="104"/>
      <c r="D7" s="103" t="s">
        <v>217</v>
      </c>
      <c r="E7" s="104"/>
      <c r="F7" s="103" t="s">
        <v>0</v>
      </c>
      <c r="G7" s="104"/>
      <c r="H7" s="105"/>
    </row>
    <row r="8" spans="1:42" ht="15" customHeight="1" x14ac:dyDescent="0.2">
      <c r="A8" s="97"/>
      <c r="B8" s="97" t="s">
        <v>174</v>
      </c>
      <c r="C8" s="97"/>
      <c r="D8" s="97" t="s">
        <v>326</v>
      </c>
      <c r="E8" s="97"/>
      <c r="F8" s="228" t="s">
        <v>1</v>
      </c>
      <c r="G8" s="97"/>
      <c r="H8" s="98"/>
    </row>
    <row r="9" spans="1:42" s="211" customFormat="1" ht="12" customHeight="1" thickBot="1" x14ac:dyDescent="0.3">
      <c r="A9" s="216"/>
      <c r="B9" s="571" t="s">
        <v>209</v>
      </c>
      <c r="C9" s="571" t="s">
        <v>246</v>
      </c>
      <c r="D9" s="571" t="s">
        <v>209</v>
      </c>
      <c r="E9" s="571" t="s">
        <v>246</v>
      </c>
      <c r="F9" s="571" t="s">
        <v>209</v>
      </c>
      <c r="G9" s="571" t="s">
        <v>246</v>
      </c>
      <c r="H9" s="57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562" customFormat="1" ht="16.5" customHeight="1" thickBot="1" x14ac:dyDescent="0.25">
      <c r="A10" s="573" t="s">
        <v>56</v>
      </c>
      <c r="B10" s="574" t="s">
        <v>140</v>
      </c>
      <c r="C10" s="575" t="s">
        <v>29</v>
      </c>
      <c r="D10" s="574" t="s">
        <v>140</v>
      </c>
      <c r="E10" s="575" t="s">
        <v>29</v>
      </c>
      <c r="F10" s="574" t="s">
        <v>140</v>
      </c>
      <c r="G10" s="575" t="s">
        <v>29</v>
      </c>
      <c r="H10" s="576" t="s">
        <v>26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549" customFormat="1" ht="15" customHeight="1" x14ac:dyDescent="0.25">
      <c r="A11" s="577" t="s">
        <v>395</v>
      </c>
      <c r="B11" s="107">
        <v>5165</v>
      </c>
      <c r="C11" s="87">
        <f>B11*15</f>
        <v>77475</v>
      </c>
      <c r="D11" s="107">
        <v>3582</v>
      </c>
      <c r="E11" s="87">
        <f>D11*15</f>
        <v>53730</v>
      </c>
      <c r="F11" s="107">
        <f>B11+D11</f>
        <v>8747</v>
      </c>
      <c r="G11" s="87">
        <f>C11+E11</f>
        <v>131205</v>
      </c>
      <c r="H11" s="578" t="s">
        <v>397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3" customFormat="1" ht="15" customHeight="1" x14ac:dyDescent="0.25">
      <c r="A12" s="99" t="s">
        <v>30</v>
      </c>
      <c r="B12" s="101">
        <v>9016</v>
      </c>
      <c r="C12" s="89">
        <f>B12*15</f>
        <v>135240</v>
      </c>
      <c r="D12" s="101">
        <v>62417</v>
      </c>
      <c r="E12" s="89">
        <f>D12*20</f>
        <v>1248340</v>
      </c>
      <c r="F12" s="101">
        <f t="shared" ref="F12:F25" si="0">B12+D12</f>
        <v>71433</v>
      </c>
      <c r="G12" s="89">
        <f t="shared" ref="G12:G26" si="1">C12+E12</f>
        <v>1383580</v>
      </c>
      <c r="H12" s="100" t="s">
        <v>31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447" customFormat="1" ht="15" customHeight="1" x14ac:dyDescent="0.25">
      <c r="A13" s="106" t="s">
        <v>3</v>
      </c>
      <c r="B13" s="107">
        <v>48040</v>
      </c>
      <c r="C13" s="87">
        <f>B13*25</f>
        <v>1201000</v>
      </c>
      <c r="D13" s="107">
        <v>74579</v>
      </c>
      <c r="E13" s="87">
        <f>D13*25</f>
        <v>1864475</v>
      </c>
      <c r="F13" s="107">
        <f t="shared" si="0"/>
        <v>122619</v>
      </c>
      <c r="G13" s="87">
        <f t="shared" si="1"/>
        <v>3065475</v>
      </c>
      <c r="H13" s="108" t="s">
        <v>15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5" customHeight="1" x14ac:dyDescent="0.25">
      <c r="A14" s="99" t="s">
        <v>381</v>
      </c>
      <c r="B14" s="101">
        <v>13867</v>
      </c>
      <c r="C14" s="89">
        <f>B14*20</f>
        <v>277340</v>
      </c>
      <c r="D14" s="101">
        <v>6371</v>
      </c>
      <c r="E14" s="89">
        <f t="shared" ref="E14:E22" si="2">D14*20</f>
        <v>127420</v>
      </c>
      <c r="F14" s="101">
        <f t="shared" si="0"/>
        <v>20238</v>
      </c>
      <c r="G14" s="89">
        <f t="shared" si="1"/>
        <v>404760</v>
      </c>
      <c r="H14" s="100" t="s">
        <v>371</v>
      </c>
    </row>
    <row r="15" spans="1:42" s="447" customFormat="1" ht="15" customHeight="1" x14ac:dyDescent="0.25">
      <c r="A15" s="106" t="s">
        <v>4</v>
      </c>
      <c r="B15" s="107">
        <v>327975</v>
      </c>
      <c r="C15" s="87">
        <f>B15*20</f>
        <v>6559500</v>
      </c>
      <c r="D15" s="107">
        <v>159025</v>
      </c>
      <c r="E15" s="87">
        <f t="shared" si="2"/>
        <v>3180500</v>
      </c>
      <c r="F15" s="107">
        <f t="shared" si="0"/>
        <v>487000</v>
      </c>
      <c r="G15" s="87">
        <f t="shared" si="1"/>
        <v>9740000</v>
      </c>
      <c r="H15" s="108" t="s">
        <v>16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ht="15" customHeight="1" x14ac:dyDescent="0.25">
      <c r="A16" s="273" t="s">
        <v>5</v>
      </c>
      <c r="B16" s="274">
        <v>38832</v>
      </c>
      <c r="C16" s="214">
        <f>B16*15</f>
        <v>582480</v>
      </c>
      <c r="D16" s="274">
        <v>26312</v>
      </c>
      <c r="E16" s="214">
        <f t="shared" si="2"/>
        <v>526240</v>
      </c>
      <c r="F16" s="101">
        <f t="shared" si="0"/>
        <v>65144</v>
      </c>
      <c r="G16" s="89">
        <f t="shared" si="1"/>
        <v>1108720</v>
      </c>
      <c r="H16" s="275" t="s">
        <v>23</v>
      </c>
    </row>
    <row r="17" spans="1:42" s="447" customFormat="1" ht="15" customHeight="1" x14ac:dyDescent="0.25">
      <c r="A17" s="106" t="s">
        <v>6</v>
      </c>
      <c r="B17" s="107">
        <v>44052</v>
      </c>
      <c r="C17" s="87">
        <f>B17*20</f>
        <v>881040</v>
      </c>
      <c r="D17" s="107">
        <v>19070</v>
      </c>
      <c r="E17" s="87">
        <f t="shared" si="2"/>
        <v>381400</v>
      </c>
      <c r="F17" s="107">
        <f t="shared" si="0"/>
        <v>63122</v>
      </c>
      <c r="G17" s="87">
        <f t="shared" si="1"/>
        <v>1262440</v>
      </c>
      <c r="H17" s="108" t="s">
        <v>24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ht="15" customHeight="1" x14ac:dyDescent="0.25">
      <c r="A18" s="273" t="s">
        <v>11</v>
      </c>
      <c r="B18" s="274">
        <v>38344</v>
      </c>
      <c r="C18" s="214">
        <f>B18*20</f>
        <v>766880</v>
      </c>
      <c r="D18" s="274">
        <v>26159</v>
      </c>
      <c r="E18" s="214">
        <f t="shared" si="2"/>
        <v>523180</v>
      </c>
      <c r="F18" s="101">
        <f t="shared" si="0"/>
        <v>64503</v>
      </c>
      <c r="G18" s="89">
        <f t="shared" si="1"/>
        <v>1290060</v>
      </c>
      <c r="H18" s="275" t="s">
        <v>21</v>
      </c>
    </row>
    <row r="19" spans="1:42" s="447" customFormat="1" ht="13.5" customHeight="1" x14ac:dyDescent="0.25">
      <c r="A19" s="106" t="s">
        <v>2</v>
      </c>
      <c r="B19" s="107">
        <v>21714</v>
      </c>
      <c r="C19" s="87">
        <f>B19*15</f>
        <v>325710</v>
      </c>
      <c r="D19" s="107">
        <v>25440</v>
      </c>
      <c r="E19" s="87">
        <f t="shared" si="2"/>
        <v>508800</v>
      </c>
      <c r="F19" s="107">
        <f t="shared" si="0"/>
        <v>47154</v>
      </c>
      <c r="G19" s="87">
        <f t="shared" si="1"/>
        <v>834510</v>
      </c>
      <c r="H19" s="108" t="s">
        <v>14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" customHeight="1" x14ac:dyDescent="0.25">
      <c r="A20" s="273" t="s">
        <v>7</v>
      </c>
      <c r="B20" s="274">
        <v>56845</v>
      </c>
      <c r="C20" s="214">
        <f>B20*20</f>
        <v>1136900</v>
      </c>
      <c r="D20" s="274">
        <v>42963</v>
      </c>
      <c r="E20" s="214">
        <f t="shared" si="2"/>
        <v>859260</v>
      </c>
      <c r="F20" s="101">
        <f t="shared" si="0"/>
        <v>99808</v>
      </c>
      <c r="G20" s="89">
        <f t="shared" si="1"/>
        <v>1996160</v>
      </c>
      <c r="H20" s="275" t="s">
        <v>17</v>
      </c>
    </row>
    <row r="21" spans="1:42" s="447" customFormat="1" ht="15" customHeight="1" x14ac:dyDescent="0.25">
      <c r="A21" s="106" t="s">
        <v>8</v>
      </c>
      <c r="B21" s="107">
        <v>10853</v>
      </c>
      <c r="C21" s="87">
        <f>B21*19</f>
        <v>206207</v>
      </c>
      <c r="D21" s="107">
        <v>20702</v>
      </c>
      <c r="E21" s="87">
        <f t="shared" si="2"/>
        <v>414040</v>
      </c>
      <c r="F21" s="107">
        <f t="shared" si="0"/>
        <v>31555</v>
      </c>
      <c r="G21" s="87">
        <f t="shared" si="1"/>
        <v>620247</v>
      </c>
      <c r="H21" s="108" t="s">
        <v>18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ht="15" customHeight="1" x14ac:dyDescent="0.25">
      <c r="A22" s="273" t="s">
        <v>9</v>
      </c>
      <c r="B22" s="274">
        <v>17584</v>
      </c>
      <c r="C22" s="214">
        <f>B22*20</f>
        <v>351680</v>
      </c>
      <c r="D22" s="274">
        <v>11522</v>
      </c>
      <c r="E22" s="214">
        <f t="shared" si="2"/>
        <v>230440</v>
      </c>
      <c r="F22" s="101">
        <f t="shared" si="0"/>
        <v>29106</v>
      </c>
      <c r="G22" s="89">
        <f t="shared" si="1"/>
        <v>582120</v>
      </c>
      <c r="H22" s="275" t="s">
        <v>19</v>
      </c>
    </row>
    <row r="23" spans="1:42" s="447" customFormat="1" ht="15" customHeight="1" x14ac:dyDescent="0.25">
      <c r="A23" s="106" t="s">
        <v>10</v>
      </c>
      <c r="B23" s="107">
        <v>29470</v>
      </c>
      <c r="C23" s="87">
        <f>B23*25</f>
        <v>736750</v>
      </c>
      <c r="D23" s="107">
        <v>6214</v>
      </c>
      <c r="E23" s="87">
        <f>D23*25</f>
        <v>155350</v>
      </c>
      <c r="F23" s="107">
        <f t="shared" si="0"/>
        <v>35684</v>
      </c>
      <c r="G23" s="87">
        <f t="shared" si="1"/>
        <v>892100</v>
      </c>
      <c r="H23" s="108" t="s">
        <v>20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15" customHeight="1" x14ac:dyDescent="0.25">
      <c r="A24" s="273" t="s">
        <v>12</v>
      </c>
      <c r="B24" s="274">
        <v>10748</v>
      </c>
      <c r="C24" s="214">
        <f>B24*15</f>
        <v>161220</v>
      </c>
      <c r="D24" s="274">
        <v>1363</v>
      </c>
      <c r="E24" s="214">
        <f>D24*20</f>
        <v>27260</v>
      </c>
      <c r="F24" s="101">
        <f t="shared" si="0"/>
        <v>12111</v>
      </c>
      <c r="G24" s="89">
        <f t="shared" si="1"/>
        <v>188480</v>
      </c>
      <c r="H24" s="275" t="s">
        <v>25</v>
      </c>
    </row>
    <row r="25" spans="1:42" s="447" customFormat="1" ht="15" customHeight="1" thickBot="1" x14ac:dyDescent="0.3">
      <c r="A25" s="106" t="s">
        <v>13</v>
      </c>
      <c r="B25" s="107">
        <v>46402</v>
      </c>
      <c r="C25" s="87">
        <f>B25*20</f>
        <v>928040</v>
      </c>
      <c r="D25" s="107">
        <v>14127</v>
      </c>
      <c r="E25" s="87">
        <f>D25*30</f>
        <v>423810</v>
      </c>
      <c r="F25" s="107">
        <f t="shared" si="0"/>
        <v>60529</v>
      </c>
      <c r="G25" s="87">
        <f t="shared" si="1"/>
        <v>1351850</v>
      </c>
      <c r="H25" s="108" t="s">
        <v>22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562" customFormat="1" ht="17.25" customHeight="1" thickBot="1" x14ac:dyDescent="0.3">
      <c r="A26" s="573" t="s">
        <v>0</v>
      </c>
      <c r="B26" s="579">
        <f>SUM(B11:B25)</f>
        <v>718907</v>
      </c>
      <c r="C26" s="579">
        <f>SUM(C11:C25)</f>
        <v>14327462</v>
      </c>
      <c r="D26" s="579">
        <f>SUM(D11:D25)</f>
        <v>499846</v>
      </c>
      <c r="E26" s="579">
        <f>SUM(E11:E25)</f>
        <v>10524245</v>
      </c>
      <c r="F26" s="579">
        <f>SUM(F11:F25)</f>
        <v>1218753</v>
      </c>
      <c r="G26" s="560">
        <f t="shared" si="1"/>
        <v>24851707</v>
      </c>
      <c r="H26" s="573" t="s">
        <v>1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ht="15" x14ac:dyDescent="0.2">
      <c r="A27" s="862"/>
      <c r="B27" s="862"/>
      <c r="C27" s="862"/>
      <c r="D27" s="862"/>
      <c r="E27" s="862"/>
      <c r="F27" s="862"/>
      <c r="G27" s="862"/>
      <c r="H27" s="862"/>
    </row>
    <row r="28" spans="1:42" ht="18.75" customHeight="1" x14ac:dyDescent="0.2"/>
  </sheetData>
  <mergeCells count="5">
    <mergeCell ref="G4:H4"/>
    <mergeCell ref="A1:H1"/>
    <mergeCell ref="A6:B6"/>
    <mergeCell ref="A27:H27"/>
    <mergeCell ref="A2:H3"/>
  </mergeCells>
  <phoneticPr fontId="3" type="noConversion"/>
  <printOptions horizontalCentered="1" verticalCentered="1"/>
  <pageMargins left="1.68" right="0.94" top="1.0416666666666666E-2" bottom="0.74" header="0.48" footer="0.511811023622047"/>
  <pageSetup orientation="landscape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7"/>
  <sheetViews>
    <sheetView rightToLeft="1" view="pageLayout" zoomScaleSheetLayoutView="98" workbookViewId="0">
      <selection activeCell="F29" sqref="F29"/>
    </sheetView>
  </sheetViews>
  <sheetFormatPr defaultRowHeight="12.75" x14ac:dyDescent="0.2"/>
  <cols>
    <col min="1" max="1" width="11.42578125" customWidth="1"/>
    <col min="2" max="2" width="10.140625" bestFit="1" customWidth="1"/>
    <col min="3" max="3" width="16.85546875" customWidth="1"/>
    <col min="4" max="4" width="10.140625" bestFit="1" customWidth="1"/>
    <col min="5" max="5" width="15.85546875" customWidth="1"/>
    <col min="6" max="6" width="12.5703125" bestFit="1" customWidth="1"/>
    <col min="7" max="7" width="15.85546875" customWidth="1"/>
    <col min="8" max="8" width="19.7109375" customWidth="1"/>
  </cols>
  <sheetData>
    <row r="1" spans="1:8" ht="15" x14ac:dyDescent="0.2">
      <c r="A1" s="871" t="s">
        <v>507</v>
      </c>
      <c r="B1" s="871"/>
      <c r="C1" s="871"/>
      <c r="D1" s="871"/>
      <c r="E1" s="871"/>
      <c r="F1" s="871"/>
      <c r="G1" s="871"/>
      <c r="H1" s="871"/>
    </row>
    <row r="2" spans="1:8" x14ac:dyDescent="0.2">
      <c r="A2" s="872" t="s">
        <v>426</v>
      </c>
      <c r="B2" s="872"/>
      <c r="C2" s="872"/>
      <c r="D2" s="872"/>
      <c r="E2" s="872"/>
      <c r="F2" s="872"/>
      <c r="G2" s="872"/>
      <c r="H2" s="872"/>
    </row>
    <row r="3" spans="1:8" x14ac:dyDescent="0.2">
      <c r="A3" s="872"/>
      <c r="B3" s="872"/>
      <c r="C3" s="872"/>
      <c r="D3" s="872"/>
      <c r="E3" s="872"/>
      <c r="F3" s="872"/>
      <c r="G3" s="872"/>
      <c r="H3" s="872"/>
    </row>
    <row r="4" spans="1:8" ht="12.75" customHeight="1" x14ac:dyDescent="0.25">
      <c r="A4" s="25"/>
      <c r="B4" s="21"/>
      <c r="C4" s="21"/>
      <c r="D4" s="109"/>
      <c r="E4" s="21"/>
      <c r="F4" s="21"/>
      <c r="G4" s="848" t="s">
        <v>223</v>
      </c>
      <c r="H4" s="848"/>
    </row>
    <row r="5" spans="1:8" ht="15" customHeight="1" thickBot="1" x14ac:dyDescent="0.3">
      <c r="A5" s="873" t="s">
        <v>483</v>
      </c>
      <c r="B5" s="873"/>
      <c r="C5" s="110" t="s">
        <v>191</v>
      </c>
      <c r="D5" s="111"/>
      <c r="E5" s="21"/>
      <c r="F5" s="112"/>
      <c r="G5" s="113" t="s">
        <v>192</v>
      </c>
      <c r="H5" s="114" t="s">
        <v>347</v>
      </c>
    </row>
    <row r="6" spans="1:8" ht="15" customHeight="1" x14ac:dyDescent="0.25">
      <c r="A6" s="41"/>
      <c r="B6" s="121" t="s">
        <v>218</v>
      </c>
      <c r="C6" s="120"/>
      <c r="D6" s="121" t="s">
        <v>219</v>
      </c>
      <c r="E6" s="120"/>
      <c r="F6" s="121" t="s">
        <v>0</v>
      </c>
      <c r="G6" s="120"/>
      <c r="H6" s="117"/>
    </row>
    <row r="7" spans="1:8" ht="15" customHeight="1" x14ac:dyDescent="0.25">
      <c r="A7" s="44"/>
      <c r="B7" s="243" t="s">
        <v>319</v>
      </c>
      <c r="C7" s="116"/>
      <c r="D7" s="243" t="s">
        <v>318</v>
      </c>
      <c r="E7" s="116"/>
      <c r="F7" s="109" t="s">
        <v>1</v>
      </c>
      <c r="G7" s="116"/>
      <c r="H7" s="115"/>
    </row>
    <row r="8" spans="1:8" s="550" customFormat="1" ht="15" customHeight="1" x14ac:dyDescent="0.2">
      <c r="A8" s="580"/>
      <c r="B8" s="581" t="s">
        <v>209</v>
      </c>
      <c r="C8" s="582" t="s">
        <v>246</v>
      </c>
      <c r="D8" s="582" t="s">
        <v>209</v>
      </c>
      <c r="E8" s="582" t="s">
        <v>246</v>
      </c>
      <c r="F8" s="582" t="s">
        <v>209</v>
      </c>
      <c r="G8" s="582" t="s">
        <v>246</v>
      </c>
      <c r="H8" s="583"/>
    </row>
    <row r="9" spans="1:8" s="557" customFormat="1" ht="15" customHeight="1" thickBot="1" x14ac:dyDescent="0.25">
      <c r="A9" s="584" t="s">
        <v>52</v>
      </c>
      <c r="B9" s="585" t="s">
        <v>140</v>
      </c>
      <c r="C9" s="585" t="s">
        <v>29</v>
      </c>
      <c r="D9" s="585" t="s">
        <v>140</v>
      </c>
      <c r="E9" s="585" t="s">
        <v>29</v>
      </c>
      <c r="F9" s="585" t="s">
        <v>140</v>
      </c>
      <c r="G9" s="585" t="s">
        <v>29</v>
      </c>
      <c r="H9" s="586" t="s">
        <v>26</v>
      </c>
    </row>
    <row r="10" spans="1:8" s="549" customFormat="1" ht="15" customHeight="1" x14ac:dyDescent="0.25">
      <c r="A10" s="587" t="s">
        <v>395</v>
      </c>
      <c r="B10" s="124">
        <v>5</v>
      </c>
      <c r="C10" s="87">
        <f>B10*13</f>
        <v>65</v>
      </c>
      <c r="D10" s="124">
        <v>5</v>
      </c>
      <c r="E10" s="87">
        <f>D10*20</f>
        <v>100</v>
      </c>
      <c r="F10" s="124">
        <f>B10+D10</f>
        <v>10</v>
      </c>
      <c r="G10" s="87">
        <f>C10+E10</f>
        <v>165</v>
      </c>
      <c r="H10" s="578" t="s">
        <v>397</v>
      </c>
    </row>
    <row r="11" spans="1:8" s="7" customFormat="1" ht="15" customHeight="1" x14ac:dyDescent="0.25">
      <c r="A11" s="118" t="s">
        <v>30</v>
      </c>
      <c r="B11" s="125">
        <v>5</v>
      </c>
      <c r="C11" s="89">
        <f>B11*15</f>
        <v>75</v>
      </c>
      <c r="D11" s="125">
        <v>72</v>
      </c>
      <c r="E11" s="89">
        <f>D11*35</f>
        <v>2520</v>
      </c>
      <c r="F11" s="125">
        <f t="shared" ref="F11:F24" si="0">B11+D11</f>
        <v>77</v>
      </c>
      <c r="G11" s="89">
        <f t="shared" ref="G11:G24" si="1">C11+E11</f>
        <v>2595</v>
      </c>
      <c r="H11" s="119" t="s">
        <v>31</v>
      </c>
    </row>
    <row r="12" spans="1:8" s="447" customFormat="1" ht="15" customHeight="1" x14ac:dyDescent="0.25">
      <c r="A12" s="122" t="s">
        <v>3</v>
      </c>
      <c r="B12" s="124">
        <v>42</v>
      </c>
      <c r="C12" s="87">
        <f>B12*25</f>
        <v>1050</v>
      </c>
      <c r="D12" s="124">
        <v>103</v>
      </c>
      <c r="E12" s="87">
        <f>D12*35</f>
        <v>3605</v>
      </c>
      <c r="F12" s="124">
        <f t="shared" si="0"/>
        <v>145</v>
      </c>
      <c r="G12" s="87">
        <f t="shared" si="1"/>
        <v>4655</v>
      </c>
      <c r="H12" s="123" t="s">
        <v>15</v>
      </c>
    </row>
    <row r="13" spans="1:8" ht="15" customHeight="1" x14ac:dyDescent="0.25">
      <c r="A13" s="118" t="s">
        <v>381</v>
      </c>
      <c r="B13" s="125">
        <v>9</v>
      </c>
      <c r="C13" s="89">
        <f>B13*17</f>
        <v>153</v>
      </c>
      <c r="D13" s="125">
        <v>15</v>
      </c>
      <c r="E13" s="89">
        <f>D13*28</f>
        <v>420</v>
      </c>
      <c r="F13" s="125">
        <f t="shared" si="0"/>
        <v>24</v>
      </c>
      <c r="G13" s="89">
        <f t="shared" si="1"/>
        <v>573</v>
      </c>
      <c r="H13" s="119" t="s">
        <v>371</v>
      </c>
    </row>
    <row r="14" spans="1:8" s="447" customFormat="1" ht="15" customHeight="1" x14ac:dyDescent="0.25">
      <c r="A14" s="122" t="s">
        <v>4</v>
      </c>
      <c r="B14" s="124">
        <v>497</v>
      </c>
      <c r="C14" s="87">
        <f>B14*20</f>
        <v>9940</v>
      </c>
      <c r="D14" s="124">
        <v>507</v>
      </c>
      <c r="E14" s="87">
        <f>D14*20</f>
        <v>10140</v>
      </c>
      <c r="F14" s="124">
        <f t="shared" si="0"/>
        <v>1004</v>
      </c>
      <c r="G14" s="87">
        <f t="shared" si="1"/>
        <v>20080</v>
      </c>
      <c r="H14" s="123" t="s">
        <v>16</v>
      </c>
    </row>
    <row r="15" spans="1:8" ht="15" customHeight="1" x14ac:dyDescent="0.25">
      <c r="A15" s="270" t="s">
        <v>5</v>
      </c>
      <c r="B15" s="271">
        <v>48</v>
      </c>
      <c r="C15" s="214">
        <f>B15*18</f>
        <v>864</v>
      </c>
      <c r="D15" s="271">
        <v>59</v>
      </c>
      <c r="E15" s="214">
        <f>D15*20</f>
        <v>1180</v>
      </c>
      <c r="F15" s="125">
        <f t="shared" si="0"/>
        <v>107</v>
      </c>
      <c r="G15" s="89">
        <f t="shared" si="1"/>
        <v>2044</v>
      </c>
      <c r="H15" s="272" t="s">
        <v>23</v>
      </c>
    </row>
    <row r="16" spans="1:8" s="447" customFormat="1" ht="15" customHeight="1" x14ac:dyDescent="0.25">
      <c r="A16" s="122" t="s">
        <v>6</v>
      </c>
      <c r="B16" s="124">
        <v>7</v>
      </c>
      <c r="C16" s="87">
        <f>B16*14</f>
        <v>98</v>
      </c>
      <c r="D16" s="124">
        <v>58</v>
      </c>
      <c r="E16" s="87">
        <f>D16*20</f>
        <v>1160</v>
      </c>
      <c r="F16" s="124">
        <f t="shared" si="0"/>
        <v>65</v>
      </c>
      <c r="G16" s="87">
        <f t="shared" si="1"/>
        <v>1258</v>
      </c>
      <c r="H16" s="123" t="s">
        <v>24</v>
      </c>
    </row>
    <row r="17" spans="1:8" ht="15" customHeight="1" x14ac:dyDescent="0.25">
      <c r="A17" s="270" t="s">
        <v>11</v>
      </c>
      <c r="B17" s="271">
        <v>13</v>
      </c>
      <c r="C17" s="214">
        <f>B17*20</f>
        <v>260</v>
      </c>
      <c r="D17" s="271">
        <v>70</v>
      </c>
      <c r="E17" s="214">
        <f>D17*20</f>
        <v>1400</v>
      </c>
      <c r="F17" s="125">
        <f t="shared" si="0"/>
        <v>83</v>
      </c>
      <c r="G17" s="89">
        <f t="shared" si="1"/>
        <v>1660</v>
      </c>
      <c r="H17" s="272" t="s">
        <v>21</v>
      </c>
    </row>
    <row r="18" spans="1:8" s="447" customFormat="1" ht="15" customHeight="1" x14ac:dyDescent="0.25">
      <c r="A18" s="122" t="s">
        <v>2</v>
      </c>
      <c r="B18" s="124">
        <v>28</v>
      </c>
      <c r="C18" s="87">
        <f>B18*15</f>
        <v>420</v>
      </c>
      <c r="D18" s="124">
        <v>21</v>
      </c>
      <c r="E18" s="87">
        <f>D18*22</f>
        <v>462</v>
      </c>
      <c r="F18" s="124">
        <f t="shared" si="0"/>
        <v>49</v>
      </c>
      <c r="G18" s="87">
        <f t="shared" si="1"/>
        <v>882</v>
      </c>
      <c r="H18" s="123" t="s">
        <v>14</v>
      </c>
    </row>
    <row r="19" spans="1:8" ht="15" customHeight="1" x14ac:dyDescent="0.25">
      <c r="A19" s="270" t="s">
        <v>7</v>
      </c>
      <c r="B19" s="271">
        <v>45</v>
      </c>
      <c r="C19" s="214">
        <f>B19*15</f>
        <v>675</v>
      </c>
      <c r="D19" s="271">
        <v>85</v>
      </c>
      <c r="E19" s="214">
        <f>D19*20</f>
        <v>1700</v>
      </c>
      <c r="F19" s="125">
        <f t="shared" si="0"/>
        <v>130</v>
      </c>
      <c r="G19" s="89">
        <f t="shared" si="1"/>
        <v>2375</v>
      </c>
      <c r="H19" s="272" t="s">
        <v>17</v>
      </c>
    </row>
    <row r="20" spans="1:8" s="447" customFormat="1" ht="15" customHeight="1" x14ac:dyDescent="0.25">
      <c r="A20" s="122" t="s">
        <v>8</v>
      </c>
      <c r="B20" s="124">
        <v>1</v>
      </c>
      <c r="C20" s="87">
        <f>B20*14</f>
        <v>14</v>
      </c>
      <c r="D20" s="124">
        <v>33</v>
      </c>
      <c r="E20" s="87">
        <f>D20*20</f>
        <v>660</v>
      </c>
      <c r="F20" s="124">
        <f t="shared" si="0"/>
        <v>34</v>
      </c>
      <c r="G20" s="87">
        <f t="shared" si="1"/>
        <v>674</v>
      </c>
      <c r="H20" s="123" t="s">
        <v>18</v>
      </c>
    </row>
    <row r="21" spans="1:8" ht="15" customHeight="1" x14ac:dyDescent="0.25">
      <c r="A21" s="270" t="s">
        <v>9</v>
      </c>
      <c r="B21" s="271">
        <v>8</v>
      </c>
      <c r="C21" s="214">
        <f>B21*14</f>
        <v>112</v>
      </c>
      <c r="D21" s="271">
        <v>39</v>
      </c>
      <c r="E21" s="214">
        <f>D21*18</f>
        <v>702</v>
      </c>
      <c r="F21" s="125">
        <f t="shared" si="0"/>
        <v>47</v>
      </c>
      <c r="G21" s="89">
        <f t="shared" si="1"/>
        <v>814</v>
      </c>
      <c r="H21" s="272" t="s">
        <v>19</v>
      </c>
    </row>
    <row r="22" spans="1:8" s="447" customFormat="1" ht="15" customHeight="1" x14ac:dyDescent="0.25">
      <c r="A22" s="122" t="s">
        <v>10</v>
      </c>
      <c r="B22" s="124">
        <v>39</v>
      </c>
      <c r="C22" s="87">
        <f>B22*20</f>
        <v>780</v>
      </c>
      <c r="D22" s="124">
        <v>71</v>
      </c>
      <c r="E22" s="87">
        <f>D22*20</f>
        <v>1420</v>
      </c>
      <c r="F22" s="124">
        <f t="shared" si="0"/>
        <v>110</v>
      </c>
      <c r="G22" s="87">
        <f t="shared" si="1"/>
        <v>2200</v>
      </c>
      <c r="H22" s="123" t="s">
        <v>20</v>
      </c>
    </row>
    <row r="23" spans="1:8" ht="15" customHeight="1" x14ac:dyDescent="0.25">
      <c r="A23" s="270" t="s">
        <v>12</v>
      </c>
      <c r="B23" s="271">
        <v>14</v>
      </c>
      <c r="C23" s="214">
        <f>B23*14</f>
        <v>196</v>
      </c>
      <c r="D23" s="271">
        <v>29</v>
      </c>
      <c r="E23" s="214">
        <f>D23*15</f>
        <v>435</v>
      </c>
      <c r="F23" s="125">
        <f t="shared" si="0"/>
        <v>43</v>
      </c>
      <c r="G23" s="89">
        <f t="shared" si="1"/>
        <v>631</v>
      </c>
      <c r="H23" s="272" t="s">
        <v>25</v>
      </c>
    </row>
    <row r="24" spans="1:8" s="447" customFormat="1" ht="15" customHeight="1" thickBot="1" x14ac:dyDescent="0.3">
      <c r="A24" s="122" t="s">
        <v>13</v>
      </c>
      <c r="B24" s="124">
        <v>0</v>
      </c>
      <c r="C24" s="87">
        <f>B24*19</f>
        <v>0</v>
      </c>
      <c r="D24" s="124">
        <v>104</v>
      </c>
      <c r="E24" s="87">
        <f>D24*15</f>
        <v>1560</v>
      </c>
      <c r="F24" s="124">
        <f t="shared" si="0"/>
        <v>104</v>
      </c>
      <c r="G24" s="87">
        <f t="shared" si="1"/>
        <v>1560</v>
      </c>
      <c r="H24" s="123" t="s">
        <v>22</v>
      </c>
    </row>
    <row r="25" spans="1:8" s="562" customFormat="1" ht="19.5" customHeight="1" thickBot="1" x14ac:dyDescent="0.3">
      <c r="A25" s="588" t="s">
        <v>0</v>
      </c>
      <c r="B25" s="589">
        <f>SUM(B10:B24)</f>
        <v>761</v>
      </c>
      <c r="C25" s="589">
        <f>SUM(C10:C24)</f>
        <v>14702</v>
      </c>
      <c r="D25" s="589">
        <f>SUM(D10:D24)</f>
        <v>1271</v>
      </c>
      <c r="E25" s="589">
        <f>SUM(E10:E24)</f>
        <v>27464</v>
      </c>
      <c r="F25" s="589">
        <f>SUM(F10:F24)</f>
        <v>2032</v>
      </c>
      <c r="G25" s="560">
        <f>C25+E25</f>
        <v>42166</v>
      </c>
      <c r="H25" s="588" t="s">
        <v>1</v>
      </c>
    </row>
    <row r="26" spans="1:8" ht="15" x14ac:dyDescent="0.2">
      <c r="A26" s="862"/>
      <c r="B26" s="862"/>
      <c r="C26" s="862"/>
      <c r="D26" s="862"/>
      <c r="E26" s="862"/>
      <c r="F26" s="862"/>
      <c r="G26" s="862"/>
      <c r="H26" s="862"/>
    </row>
    <row r="27" spans="1:8" ht="13.5" customHeight="1" x14ac:dyDescent="0.2"/>
  </sheetData>
  <mergeCells count="5">
    <mergeCell ref="G4:H4"/>
    <mergeCell ref="A1:H1"/>
    <mergeCell ref="A2:H3"/>
    <mergeCell ref="A5:B5"/>
    <mergeCell ref="A26:H26"/>
  </mergeCells>
  <phoneticPr fontId="3" type="noConversion"/>
  <printOptions horizontalCentered="1" verticalCentered="1"/>
  <pageMargins left="0.74803149606299202" right="1.07" top="0" bottom="0.98425196850393704" header="0.78740157480314998" footer="0.511811023622047"/>
  <pageSetup orientation="landscape" verticalDpi="300" r:id="rId1"/>
  <headerFooter alignWithMargins="0">
    <oddFooter>&amp;C30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Layout" topLeftCell="B4" workbookViewId="0">
      <selection activeCell="G22" sqref="G22"/>
    </sheetView>
  </sheetViews>
  <sheetFormatPr defaultRowHeight="12.75" x14ac:dyDescent="0.2"/>
  <cols>
    <col min="1" max="1" width="8" customWidth="1"/>
    <col min="2" max="2" width="5.5703125" customWidth="1"/>
    <col min="3" max="3" width="7.42578125" customWidth="1"/>
    <col min="4" max="4" width="6.85546875" customWidth="1"/>
    <col min="5" max="5" width="6.7109375" customWidth="1"/>
    <col min="6" max="6" width="7.7109375" customWidth="1"/>
    <col min="7" max="7" width="8" customWidth="1"/>
    <col min="8" max="8" width="8.5703125" customWidth="1"/>
    <col min="10" max="10" width="8.85546875" customWidth="1"/>
    <col min="11" max="11" width="8.28515625" customWidth="1"/>
    <col min="12" max="13" width="7.7109375" customWidth="1"/>
    <col min="14" max="14" width="7.42578125" customWidth="1"/>
    <col min="15" max="15" width="8" customWidth="1"/>
  </cols>
  <sheetData/>
  <phoneticPr fontId="3" type="noConversion"/>
  <pageMargins left="0.75" right="0.53" top="0.57999999999999996" bottom="1" header="1.3" footer="0.5"/>
  <pageSetup orientation="landscape" horizontalDpi="4294967293" verticalDpi="1200" r:id="rId1"/>
  <headerFooter alignWithMargins="0">
    <oddHeader>&amp;C&amp;P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26"/>
  <sheetViews>
    <sheetView rightToLeft="1" view="pageLayout" zoomScaleSheetLayoutView="100" workbookViewId="0">
      <selection activeCell="Y1" sqref="L1:Y24"/>
    </sheetView>
  </sheetViews>
  <sheetFormatPr defaultRowHeight="12.75" x14ac:dyDescent="0.2"/>
  <cols>
    <col min="1" max="1" width="10" customWidth="1"/>
    <col min="2" max="2" width="12.85546875" customWidth="1"/>
    <col min="3" max="3" width="14.42578125" customWidth="1"/>
    <col min="4" max="4" width="11.140625" customWidth="1"/>
    <col min="5" max="5" width="13.85546875" customWidth="1"/>
    <col min="6" max="6" width="11.42578125" customWidth="1"/>
    <col min="7" max="7" width="12.42578125" customWidth="1"/>
    <col min="8" max="8" width="12.140625" customWidth="1"/>
    <col min="9" max="9" width="14" customWidth="1"/>
    <col min="10" max="10" width="17.85546875" customWidth="1"/>
    <col min="11" max="11" width="0.85546875" hidden="1" customWidth="1"/>
  </cols>
  <sheetData>
    <row r="1" spans="1:25" ht="15" x14ac:dyDescent="0.2">
      <c r="A1" s="821" t="s">
        <v>430</v>
      </c>
      <c r="B1" s="821"/>
      <c r="C1" s="821"/>
      <c r="D1" s="821"/>
      <c r="E1" s="821"/>
      <c r="F1" s="821"/>
      <c r="G1" s="821"/>
      <c r="H1" s="821"/>
      <c r="I1" s="821"/>
      <c r="J1" s="821"/>
      <c r="L1" s="6"/>
    </row>
    <row r="2" spans="1:25" ht="15" x14ac:dyDescent="0.2">
      <c r="A2" s="823" t="s">
        <v>427</v>
      </c>
      <c r="B2" s="823"/>
      <c r="C2" s="823"/>
      <c r="D2" s="823"/>
      <c r="E2" s="823"/>
      <c r="F2" s="823"/>
      <c r="G2" s="823"/>
      <c r="H2" s="823"/>
      <c r="I2" s="823"/>
      <c r="J2" s="823"/>
    </row>
    <row r="3" spans="1:25" s="7" customFormat="1" ht="15" x14ac:dyDescent="0.2">
      <c r="A3" s="317"/>
      <c r="B3" s="317"/>
      <c r="C3" s="317"/>
      <c r="D3" s="317"/>
      <c r="E3" s="317"/>
      <c r="F3" s="317"/>
      <c r="G3" s="317"/>
      <c r="H3" s="317"/>
      <c r="I3" s="874" t="s">
        <v>223</v>
      </c>
      <c r="J3" s="874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7.25" customHeight="1" thickBot="1" x14ac:dyDescent="0.3">
      <c r="A4" s="875" t="s">
        <v>484</v>
      </c>
      <c r="B4" s="875"/>
      <c r="C4" s="875"/>
      <c r="D4" s="70"/>
      <c r="E4" s="70"/>
      <c r="F4" s="27"/>
      <c r="G4" s="70"/>
      <c r="H4" s="70" t="s">
        <v>207</v>
      </c>
      <c r="I4" s="850" t="s">
        <v>347</v>
      </c>
      <c r="J4" s="850"/>
    </row>
    <row r="5" spans="1:25" ht="15" customHeight="1" x14ac:dyDescent="0.25">
      <c r="A5" s="10"/>
      <c r="B5" s="79" t="s">
        <v>46</v>
      </c>
      <c r="C5" s="79"/>
      <c r="D5" s="79" t="s">
        <v>118</v>
      </c>
      <c r="E5" s="79"/>
      <c r="F5" s="79" t="s">
        <v>119</v>
      </c>
      <c r="G5" s="79"/>
      <c r="H5" s="79" t="s">
        <v>0</v>
      </c>
      <c r="I5" s="135"/>
      <c r="J5" s="10"/>
    </row>
    <row r="6" spans="1:25" ht="15" customHeight="1" x14ac:dyDescent="0.25">
      <c r="A6" s="21"/>
      <c r="B6" s="35" t="s">
        <v>174</v>
      </c>
      <c r="C6" s="35"/>
      <c r="D6" s="35" t="s">
        <v>270</v>
      </c>
      <c r="E6" s="35"/>
      <c r="F6" s="35" t="s">
        <v>320</v>
      </c>
      <c r="G6" s="35"/>
      <c r="H6" s="35" t="s">
        <v>1</v>
      </c>
      <c r="I6" s="35"/>
      <c r="J6" s="21"/>
    </row>
    <row r="7" spans="1:25" s="211" customFormat="1" ht="15" customHeight="1" x14ac:dyDescent="0.2">
      <c r="A7" s="58"/>
      <c r="B7" s="502" t="s">
        <v>37</v>
      </c>
      <c r="C7" s="502" t="s">
        <v>246</v>
      </c>
      <c r="D7" s="502" t="s">
        <v>37</v>
      </c>
      <c r="E7" s="500" t="s">
        <v>246</v>
      </c>
      <c r="F7" s="502" t="s">
        <v>37</v>
      </c>
      <c r="G7" s="502" t="s">
        <v>246</v>
      </c>
      <c r="H7" s="502" t="s">
        <v>37</v>
      </c>
      <c r="I7" s="502" t="s">
        <v>246</v>
      </c>
      <c r="J7" s="58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s="557" customFormat="1" ht="15" customHeight="1" thickBot="1" x14ac:dyDescent="0.25">
      <c r="A8" s="590" t="s">
        <v>52</v>
      </c>
      <c r="B8" s="591" t="s">
        <v>163</v>
      </c>
      <c r="C8" s="591" t="s">
        <v>29</v>
      </c>
      <c r="D8" s="591" t="s">
        <v>163</v>
      </c>
      <c r="E8" s="591" t="s">
        <v>29</v>
      </c>
      <c r="F8" s="591" t="s">
        <v>163</v>
      </c>
      <c r="G8" s="591" t="s">
        <v>29</v>
      </c>
      <c r="H8" s="591" t="s">
        <v>163</v>
      </c>
      <c r="I8" s="591" t="s">
        <v>29</v>
      </c>
      <c r="J8" s="592" t="s">
        <v>26</v>
      </c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549" customFormat="1" ht="15" customHeight="1" x14ac:dyDescent="0.25">
      <c r="A9" s="36" t="s">
        <v>395</v>
      </c>
      <c r="B9" s="86">
        <v>2939</v>
      </c>
      <c r="C9" s="87">
        <f>B9*80</f>
        <v>235120</v>
      </c>
      <c r="D9" s="86">
        <v>376</v>
      </c>
      <c r="E9" s="87">
        <f>D9*100</f>
        <v>37600</v>
      </c>
      <c r="F9" s="86">
        <v>30</v>
      </c>
      <c r="G9" s="87">
        <f>F9*220</f>
        <v>6600</v>
      </c>
      <c r="H9" s="86">
        <f>B9+D9+F9</f>
        <v>3345</v>
      </c>
      <c r="I9" s="86">
        <f>C9+E9+G9</f>
        <v>279320</v>
      </c>
      <c r="J9" s="17" t="s">
        <v>397</v>
      </c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7" customFormat="1" ht="15" customHeight="1" x14ac:dyDescent="0.25">
      <c r="A10" s="501" t="s">
        <v>30</v>
      </c>
      <c r="B10" s="88">
        <v>32150</v>
      </c>
      <c r="C10" s="89">
        <f>B10*85</f>
        <v>2732750</v>
      </c>
      <c r="D10" s="88">
        <v>0</v>
      </c>
      <c r="E10" s="89">
        <f>D10*100</f>
        <v>0</v>
      </c>
      <c r="F10" s="88">
        <v>968</v>
      </c>
      <c r="G10" s="89">
        <f>F10*225</f>
        <v>217800</v>
      </c>
      <c r="H10" s="88">
        <f t="shared" ref="H10:H23" si="0">B10+D10+F10</f>
        <v>33118</v>
      </c>
      <c r="I10" s="88">
        <f t="shared" ref="I10:I23" si="1">C10+E10+G10</f>
        <v>2950550</v>
      </c>
      <c r="J10" s="54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447" customFormat="1" ht="15" customHeight="1" x14ac:dyDescent="0.25">
      <c r="A11" s="16" t="s">
        <v>3</v>
      </c>
      <c r="B11" s="86">
        <v>42560</v>
      </c>
      <c r="C11" s="87">
        <f>B11*108</f>
        <v>4596480</v>
      </c>
      <c r="D11" s="86">
        <v>10589</v>
      </c>
      <c r="E11" s="87">
        <f>D11*115</f>
        <v>1217735</v>
      </c>
      <c r="F11" s="86">
        <v>1437</v>
      </c>
      <c r="G11" s="87">
        <f>F11*180</f>
        <v>258660</v>
      </c>
      <c r="H11" s="86">
        <f t="shared" si="0"/>
        <v>54586</v>
      </c>
      <c r="I11" s="86">
        <f t="shared" si="1"/>
        <v>6072875</v>
      </c>
      <c r="J11" s="57" t="s">
        <v>15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5" customHeight="1" x14ac:dyDescent="0.25">
      <c r="A12" s="267" t="s">
        <v>381</v>
      </c>
      <c r="B12" s="90">
        <v>6159</v>
      </c>
      <c r="C12" s="214">
        <f>B12*95</f>
        <v>585105</v>
      </c>
      <c r="D12" s="90">
        <v>3248</v>
      </c>
      <c r="E12" s="214">
        <f>D12*95</f>
        <v>308560</v>
      </c>
      <c r="F12" s="90">
        <v>184</v>
      </c>
      <c r="G12" s="214">
        <f>F12*230</f>
        <v>42320</v>
      </c>
      <c r="H12" s="88">
        <f t="shared" si="0"/>
        <v>9591</v>
      </c>
      <c r="I12" s="88">
        <f t="shared" si="1"/>
        <v>935985</v>
      </c>
      <c r="J12" s="268" t="s">
        <v>371</v>
      </c>
    </row>
    <row r="13" spans="1:25" s="447" customFormat="1" ht="15" customHeight="1" x14ac:dyDescent="0.25">
      <c r="A13" s="16" t="s">
        <v>4</v>
      </c>
      <c r="B13" s="86">
        <v>179832</v>
      </c>
      <c r="C13" s="87">
        <f>B13*120</f>
        <v>21579840</v>
      </c>
      <c r="D13" s="86">
        <v>48654</v>
      </c>
      <c r="E13" s="87">
        <f>D13*120</f>
        <v>5838480</v>
      </c>
      <c r="F13" s="86">
        <v>10726</v>
      </c>
      <c r="G13" s="87">
        <f>F13*189</f>
        <v>2027214</v>
      </c>
      <c r="H13" s="86">
        <f t="shared" si="0"/>
        <v>239212</v>
      </c>
      <c r="I13" s="86">
        <f t="shared" si="1"/>
        <v>29445534</v>
      </c>
      <c r="J13" s="57" t="s">
        <v>16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customHeight="1" x14ac:dyDescent="0.25">
      <c r="A14" s="267" t="s">
        <v>5</v>
      </c>
      <c r="B14" s="90">
        <v>26678</v>
      </c>
      <c r="C14" s="214">
        <f>B14*110</f>
        <v>2934580</v>
      </c>
      <c r="D14" s="90">
        <v>7111</v>
      </c>
      <c r="E14" s="214">
        <f>D14*100</f>
        <v>711100</v>
      </c>
      <c r="F14" s="90">
        <v>908</v>
      </c>
      <c r="G14" s="214">
        <f>F14*220</f>
        <v>199760</v>
      </c>
      <c r="H14" s="88">
        <f t="shared" si="0"/>
        <v>34697</v>
      </c>
      <c r="I14" s="88">
        <f t="shared" si="1"/>
        <v>3845440</v>
      </c>
      <c r="J14" s="268" t="s">
        <v>23</v>
      </c>
    </row>
    <row r="15" spans="1:25" s="447" customFormat="1" ht="15" customHeight="1" x14ac:dyDescent="0.25">
      <c r="A15" s="16" t="s">
        <v>6</v>
      </c>
      <c r="B15" s="86">
        <v>24009</v>
      </c>
      <c r="C15" s="87">
        <f>B15*100</f>
        <v>2400900</v>
      </c>
      <c r="D15" s="86">
        <v>6446</v>
      </c>
      <c r="E15" s="87">
        <f>D15*105</f>
        <v>676830</v>
      </c>
      <c r="F15" s="86">
        <v>741</v>
      </c>
      <c r="G15" s="87">
        <f>F15*179</f>
        <v>132639</v>
      </c>
      <c r="H15" s="86">
        <f t="shared" si="0"/>
        <v>31196</v>
      </c>
      <c r="I15" s="86">
        <f t="shared" si="1"/>
        <v>3210369</v>
      </c>
      <c r="J15" s="57" t="s">
        <v>24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5" customHeight="1" x14ac:dyDescent="0.25">
      <c r="A16" s="267" t="s">
        <v>11</v>
      </c>
      <c r="B16" s="90">
        <v>35705</v>
      </c>
      <c r="C16" s="214">
        <f>B16*100</f>
        <v>3570500</v>
      </c>
      <c r="D16" s="90">
        <v>6803</v>
      </c>
      <c r="E16" s="214">
        <f>D16*105</f>
        <v>714315</v>
      </c>
      <c r="F16" s="90">
        <v>890</v>
      </c>
      <c r="G16" s="214">
        <f>F16*205</f>
        <v>182450</v>
      </c>
      <c r="H16" s="88">
        <f t="shared" si="0"/>
        <v>43398</v>
      </c>
      <c r="I16" s="88">
        <f t="shared" si="1"/>
        <v>4467265</v>
      </c>
      <c r="J16" s="268" t="s">
        <v>21</v>
      </c>
    </row>
    <row r="17" spans="1:25" s="447" customFormat="1" ht="15" customHeight="1" x14ac:dyDescent="0.25">
      <c r="A17" s="16" t="s">
        <v>2</v>
      </c>
      <c r="B17" s="86">
        <v>15716</v>
      </c>
      <c r="C17" s="87">
        <f>B17*90</f>
        <v>1414440</v>
      </c>
      <c r="D17" s="86">
        <v>605</v>
      </c>
      <c r="E17" s="87">
        <f>D17*115</f>
        <v>69575</v>
      </c>
      <c r="F17" s="86">
        <v>262</v>
      </c>
      <c r="G17" s="87">
        <f>F17*170</f>
        <v>44540</v>
      </c>
      <c r="H17" s="86">
        <f t="shared" si="0"/>
        <v>16583</v>
      </c>
      <c r="I17" s="86">
        <f t="shared" si="1"/>
        <v>1528555</v>
      </c>
      <c r="J17" s="57" t="s">
        <v>14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5" customHeight="1" x14ac:dyDescent="0.25">
      <c r="A18" s="267" t="s">
        <v>7</v>
      </c>
      <c r="B18" s="90">
        <v>38287</v>
      </c>
      <c r="C18" s="214">
        <f>B18*90</f>
        <v>3445830</v>
      </c>
      <c r="D18" s="90">
        <v>8635</v>
      </c>
      <c r="E18" s="214">
        <f>D18*105</f>
        <v>906675</v>
      </c>
      <c r="F18" s="90">
        <v>797</v>
      </c>
      <c r="G18" s="214">
        <f>F18*175</f>
        <v>139475</v>
      </c>
      <c r="H18" s="88">
        <f t="shared" si="0"/>
        <v>47719</v>
      </c>
      <c r="I18" s="88">
        <f t="shared" si="1"/>
        <v>4491980</v>
      </c>
      <c r="J18" s="268" t="s">
        <v>17</v>
      </c>
    </row>
    <row r="19" spans="1:25" s="447" customFormat="1" ht="15" customHeight="1" x14ac:dyDescent="0.25">
      <c r="A19" s="16" t="s">
        <v>8</v>
      </c>
      <c r="B19" s="86">
        <v>13556</v>
      </c>
      <c r="C19" s="87">
        <f>B19*95</f>
        <v>1287820</v>
      </c>
      <c r="D19" s="86">
        <v>2763</v>
      </c>
      <c r="E19" s="87">
        <f>D19*100</f>
        <v>276300</v>
      </c>
      <c r="F19" s="86">
        <v>250</v>
      </c>
      <c r="G19" s="87">
        <f>F19*205</f>
        <v>51250</v>
      </c>
      <c r="H19" s="86">
        <f t="shared" si="0"/>
        <v>16569</v>
      </c>
      <c r="I19" s="86">
        <f t="shared" si="1"/>
        <v>1615370</v>
      </c>
      <c r="J19" s="57" t="s">
        <v>18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customHeight="1" x14ac:dyDescent="0.25">
      <c r="A20" s="267" t="s">
        <v>9</v>
      </c>
      <c r="B20" s="90">
        <v>19183</v>
      </c>
      <c r="C20" s="214">
        <f>B20*100</f>
        <v>1918300</v>
      </c>
      <c r="D20" s="90">
        <v>2543</v>
      </c>
      <c r="E20" s="214">
        <f>D20*95</f>
        <v>241585</v>
      </c>
      <c r="F20" s="90">
        <v>122</v>
      </c>
      <c r="G20" s="214">
        <f>F20*180</f>
        <v>21960</v>
      </c>
      <c r="H20" s="88">
        <f t="shared" si="0"/>
        <v>21848</v>
      </c>
      <c r="I20" s="88">
        <f t="shared" si="1"/>
        <v>2181845</v>
      </c>
      <c r="J20" s="268" t="s">
        <v>19</v>
      </c>
    </row>
    <row r="21" spans="1:25" s="447" customFormat="1" ht="15" customHeight="1" x14ac:dyDescent="0.25">
      <c r="A21" s="16" t="s">
        <v>10</v>
      </c>
      <c r="B21" s="86">
        <v>27078</v>
      </c>
      <c r="C21" s="87">
        <f>B21*100</f>
        <v>2707800</v>
      </c>
      <c r="D21" s="86">
        <v>3599</v>
      </c>
      <c r="E21" s="87">
        <f>D21*100</f>
        <v>359900</v>
      </c>
      <c r="F21" s="86">
        <v>2343</v>
      </c>
      <c r="G21" s="87">
        <f>F21*180</f>
        <v>421740</v>
      </c>
      <c r="H21" s="86">
        <f t="shared" si="0"/>
        <v>33020</v>
      </c>
      <c r="I21" s="86">
        <f t="shared" si="1"/>
        <v>3489440</v>
      </c>
      <c r="J21" s="57" t="s">
        <v>20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5" customHeight="1" x14ac:dyDescent="0.25">
      <c r="A22" s="267" t="s">
        <v>12</v>
      </c>
      <c r="B22" s="90">
        <v>8795</v>
      </c>
      <c r="C22" s="214">
        <f>B22*100</f>
        <v>879500</v>
      </c>
      <c r="D22" s="90">
        <v>3754</v>
      </c>
      <c r="E22" s="214">
        <f>D22*120</f>
        <v>450480</v>
      </c>
      <c r="F22" s="90">
        <v>221</v>
      </c>
      <c r="G22" s="214">
        <f>F22*156</f>
        <v>34476</v>
      </c>
      <c r="H22" s="88">
        <f t="shared" si="0"/>
        <v>12770</v>
      </c>
      <c r="I22" s="88">
        <f t="shared" si="1"/>
        <v>1364456</v>
      </c>
      <c r="J22" s="268" t="s">
        <v>25</v>
      </c>
    </row>
    <row r="23" spans="1:25" s="447" customFormat="1" ht="15" customHeight="1" thickBot="1" x14ac:dyDescent="0.3">
      <c r="A23" s="16" t="s">
        <v>13</v>
      </c>
      <c r="B23" s="86">
        <v>32300</v>
      </c>
      <c r="C23" s="87">
        <f>B23*105</f>
        <v>3391500</v>
      </c>
      <c r="D23" s="86">
        <v>13842</v>
      </c>
      <c r="E23" s="87">
        <f>D23*110</f>
        <v>1522620</v>
      </c>
      <c r="F23" s="86">
        <v>964</v>
      </c>
      <c r="G23" s="87">
        <f>F23*140</f>
        <v>134960</v>
      </c>
      <c r="H23" s="86">
        <f t="shared" si="0"/>
        <v>47106</v>
      </c>
      <c r="I23" s="86">
        <f t="shared" si="1"/>
        <v>5049080</v>
      </c>
      <c r="J23" s="57" t="s">
        <v>22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s="562" customFormat="1" ht="15" customHeight="1" thickBot="1" x14ac:dyDescent="0.25">
      <c r="A24" s="593" t="s">
        <v>0</v>
      </c>
      <c r="B24" s="559">
        <f t="shared" ref="B24:I24" si="2">SUM(B9:B23)</f>
        <v>504947</v>
      </c>
      <c r="C24" s="559">
        <f t="shared" si="2"/>
        <v>53680465</v>
      </c>
      <c r="D24" s="559">
        <f t="shared" si="2"/>
        <v>118968</v>
      </c>
      <c r="E24" s="559">
        <f t="shared" si="2"/>
        <v>13331755</v>
      </c>
      <c r="F24" s="559">
        <f t="shared" si="2"/>
        <v>20843</v>
      </c>
      <c r="G24" s="559">
        <f t="shared" si="2"/>
        <v>3915844</v>
      </c>
      <c r="H24" s="559">
        <f t="shared" si="2"/>
        <v>644758</v>
      </c>
      <c r="I24" s="559">
        <f t="shared" si="2"/>
        <v>70928064</v>
      </c>
      <c r="J24" s="570" t="s">
        <v>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15" x14ac:dyDescent="0.2">
      <c r="A25" s="862"/>
      <c r="B25" s="862"/>
      <c r="C25" s="862"/>
      <c r="D25" s="862"/>
      <c r="E25" s="862"/>
      <c r="F25" s="862"/>
      <c r="G25" s="862"/>
      <c r="H25" s="862"/>
      <c r="I25" s="7"/>
      <c r="J25" s="258"/>
    </row>
    <row r="26" spans="1:25" ht="12.75" customHeight="1" x14ac:dyDescent="0.2">
      <c r="J26" s="60"/>
    </row>
  </sheetData>
  <mergeCells count="6">
    <mergeCell ref="A25:H25"/>
    <mergeCell ref="I3:J3"/>
    <mergeCell ref="A1:J1"/>
    <mergeCell ref="A2:J2"/>
    <mergeCell ref="A4:C4"/>
    <mergeCell ref="I4:J4"/>
  </mergeCells>
  <phoneticPr fontId="3" type="noConversion"/>
  <printOptions horizontalCentered="1" verticalCentered="1"/>
  <pageMargins left="0.55000000000000004" right="0.55000000000000004" top="0.02" bottom="0.98425196850393704" header="0.78740157480314998" footer="0.511811023622047"/>
  <pageSetup scale="96" orientation="landscape" verticalDpi="300" r:id="rId1"/>
  <headerFooter alignWithMargins="0">
    <oddFooter>&amp;C32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7"/>
  <sheetViews>
    <sheetView rightToLeft="1" tabSelected="1" view="pageLayout" zoomScaleSheetLayoutView="100" workbookViewId="0">
      <selection activeCell="G10" sqref="G10"/>
    </sheetView>
  </sheetViews>
  <sheetFormatPr defaultRowHeight="12.75" x14ac:dyDescent="0.2"/>
  <cols>
    <col min="1" max="1" width="11.28515625" customWidth="1"/>
    <col min="2" max="2" width="10.140625" bestFit="1" customWidth="1"/>
    <col min="3" max="3" width="14.140625" customWidth="1"/>
    <col min="4" max="4" width="9.28515625" bestFit="1" customWidth="1"/>
    <col min="5" max="5" width="14" customWidth="1"/>
    <col min="6" max="6" width="10.140625" bestFit="1" customWidth="1"/>
    <col min="7" max="7" width="14.5703125" customWidth="1"/>
    <col min="8" max="8" width="17.28515625" customWidth="1"/>
    <col min="9" max="9" width="1" hidden="1" customWidth="1"/>
    <col min="10" max="10" width="1.42578125" hidden="1" customWidth="1"/>
  </cols>
  <sheetData>
    <row r="1" spans="1:9" ht="15" x14ac:dyDescent="0.2">
      <c r="A1" s="877" t="s">
        <v>430</v>
      </c>
      <c r="B1" s="877"/>
      <c r="C1" s="877"/>
      <c r="D1" s="877"/>
      <c r="E1" s="877"/>
      <c r="F1" s="877"/>
      <c r="G1" s="877"/>
      <c r="H1" s="877"/>
    </row>
    <row r="2" spans="1:9" x14ac:dyDescent="0.2">
      <c r="A2" s="878" t="s">
        <v>428</v>
      </c>
      <c r="B2" s="878"/>
      <c r="C2" s="878"/>
      <c r="D2" s="878"/>
      <c r="E2" s="878"/>
      <c r="F2" s="878"/>
      <c r="G2" s="878"/>
      <c r="H2" s="878"/>
    </row>
    <row r="3" spans="1:9" ht="17.25" customHeight="1" x14ac:dyDescent="0.2">
      <c r="A3" s="878"/>
      <c r="B3" s="878"/>
      <c r="C3" s="878"/>
      <c r="D3" s="878"/>
      <c r="E3" s="878"/>
      <c r="F3" s="878"/>
      <c r="G3" s="878"/>
      <c r="H3" s="878"/>
    </row>
    <row r="4" spans="1:9" s="7" customFormat="1" ht="17.25" customHeight="1" x14ac:dyDescent="0.2">
      <c r="A4" s="322"/>
      <c r="B4" s="322"/>
      <c r="C4" s="322"/>
      <c r="D4" s="322"/>
      <c r="E4" s="322"/>
      <c r="F4" s="322"/>
      <c r="G4" s="874" t="s">
        <v>223</v>
      </c>
      <c r="H4" s="874"/>
    </row>
    <row r="5" spans="1:9" ht="17.25" customHeight="1" thickBot="1" x14ac:dyDescent="0.3">
      <c r="A5" s="876" t="s">
        <v>490</v>
      </c>
      <c r="B5" s="876"/>
      <c r="C5" s="126" t="s">
        <v>181</v>
      </c>
      <c r="D5" s="21"/>
      <c r="E5" s="21"/>
      <c r="F5" s="127"/>
      <c r="G5" s="128" t="s">
        <v>348</v>
      </c>
      <c r="H5" s="129" t="s">
        <v>347</v>
      </c>
      <c r="I5" s="3"/>
    </row>
    <row r="6" spans="1:9" ht="15" customHeight="1" x14ac:dyDescent="0.25">
      <c r="A6" s="10"/>
      <c r="B6" s="133" t="s">
        <v>47</v>
      </c>
      <c r="C6" s="133"/>
      <c r="D6" s="133" t="s">
        <v>46</v>
      </c>
      <c r="E6" s="133"/>
      <c r="F6" s="133" t="s">
        <v>0</v>
      </c>
      <c r="G6" s="134"/>
      <c r="H6" s="133"/>
    </row>
    <row r="7" spans="1:9" ht="15" customHeight="1" x14ac:dyDescent="0.25">
      <c r="A7" s="21"/>
      <c r="B7" s="130" t="s">
        <v>176</v>
      </c>
      <c r="C7" s="130"/>
      <c r="D7" s="229" t="s">
        <v>174</v>
      </c>
      <c r="E7" s="130"/>
      <c r="F7" s="229" t="s">
        <v>1</v>
      </c>
      <c r="G7" s="131"/>
      <c r="H7" s="130"/>
    </row>
    <row r="8" spans="1:9" ht="15" customHeight="1" x14ac:dyDescent="0.2">
      <c r="A8" s="714"/>
      <c r="B8" s="715" t="s">
        <v>37</v>
      </c>
      <c r="C8" s="715" t="s">
        <v>246</v>
      </c>
      <c r="D8" s="715" t="s">
        <v>37</v>
      </c>
      <c r="E8" s="715" t="s">
        <v>246</v>
      </c>
      <c r="F8" s="715" t="s">
        <v>37</v>
      </c>
      <c r="G8" s="715" t="s">
        <v>246</v>
      </c>
      <c r="H8" s="132"/>
    </row>
    <row r="9" spans="1:9" s="600" customFormat="1" ht="15" customHeight="1" thickBot="1" x14ac:dyDescent="0.25">
      <c r="A9" s="716" t="s">
        <v>53</v>
      </c>
      <c r="B9" s="717" t="s">
        <v>163</v>
      </c>
      <c r="C9" s="718" t="s">
        <v>29</v>
      </c>
      <c r="D9" s="718" t="s">
        <v>163</v>
      </c>
      <c r="E9" s="718" t="s">
        <v>29</v>
      </c>
      <c r="F9" s="718" t="s">
        <v>163</v>
      </c>
      <c r="G9" s="718" t="s">
        <v>29</v>
      </c>
      <c r="H9" s="129" t="s">
        <v>26</v>
      </c>
    </row>
    <row r="10" spans="1:9" s="705" customFormat="1" ht="15" customHeight="1" x14ac:dyDescent="0.25">
      <c r="A10" s="721" t="s">
        <v>395</v>
      </c>
      <c r="B10" s="722">
        <v>911</v>
      </c>
      <c r="C10" s="448">
        <f>B10*75</f>
        <v>68325</v>
      </c>
      <c r="D10" s="722">
        <v>634</v>
      </c>
      <c r="E10" s="448">
        <f>D10*63</f>
        <v>39942</v>
      </c>
      <c r="F10" s="722">
        <f>B10+D10</f>
        <v>1545</v>
      </c>
      <c r="G10" s="448">
        <f>C10+E10</f>
        <v>108267</v>
      </c>
      <c r="H10" s="723" t="s">
        <v>397</v>
      </c>
    </row>
    <row r="11" spans="1:9" s="211" customFormat="1" ht="15" customHeight="1" x14ac:dyDescent="0.25">
      <c r="A11" s="715" t="s">
        <v>30</v>
      </c>
      <c r="B11" s="278">
        <v>26248</v>
      </c>
      <c r="C11" s="214">
        <f>B11*75</f>
        <v>1968600</v>
      </c>
      <c r="D11" s="278">
        <v>13443</v>
      </c>
      <c r="E11" s="214">
        <f t="shared" ref="E11:E24" si="0">D11*63</f>
        <v>846909</v>
      </c>
      <c r="F11" s="278">
        <f t="shared" ref="F11:F24" si="1">B11+D11</f>
        <v>39691</v>
      </c>
      <c r="G11" s="214">
        <f t="shared" ref="G11:G24" si="2">C11+E11</f>
        <v>2815509</v>
      </c>
      <c r="H11" s="812" t="s">
        <v>31</v>
      </c>
    </row>
    <row r="12" spans="1:9" s="450" customFormat="1" ht="15" customHeight="1" x14ac:dyDescent="0.25">
      <c r="A12" s="724" t="s">
        <v>3</v>
      </c>
      <c r="B12" s="722">
        <v>40495</v>
      </c>
      <c r="C12" s="448">
        <f t="shared" ref="C12:C17" si="3">B12*70</f>
        <v>2834650</v>
      </c>
      <c r="D12" s="722">
        <v>7156</v>
      </c>
      <c r="E12" s="448">
        <f t="shared" si="0"/>
        <v>450828</v>
      </c>
      <c r="F12" s="722">
        <f t="shared" si="1"/>
        <v>47651</v>
      </c>
      <c r="G12" s="448">
        <f t="shared" si="2"/>
        <v>3285478</v>
      </c>
      <c r="H12" s="725" t="s">
        <v>15</v>
      </c>
    </row>
    <row r="13" spans="1:9" s="211" customFormat="1" ht="15" customHeight="1" x14ac:dyDescent="0.25">
      <c r="A13" s="715" t="s">
        <v>381</v>
      </c>
      <c r="B13" s="278">
        <v>5347</v>
      </c>
      <c r="C13" s="214">
        <f t="shared" si="3"/>
        <v>374290</v>
      </c>
      <c r="D13" s="278">
        <v>589</v>
      </c>
      <c r="E13" s="214">
        <f t="shared" si="0"/>
        <v>37107</v>
      </c>
      <c r="F13" s="278">
        <f t="shared" si="1"/>
        <v>5936</v>
      </c>
      <c r="G13" s="214">
        <f t="shared" si="2"/>
        <v>411397</v>
      </c>
      <c r="H13" s="812" t="s">
        <v>371</v>
      </c>
    </row>
    <row r="14" spans="1:9" s="450" customFormat="1" ht="15" customHeight="1" x14ac:dyDescent="0.25">
      <c r="A14" s="724" t="s">
        <v>4</v>
      </c>
      <c r="B14" s="722">
        <v>175720</v>
      </c>
      <c r="C14" s="448">
        <f t="shared" si="3"/>
        <v>12300400</v>
      </c>
      <c r="D14" s="722">
        <v>12709</v>
      </c>
      <c r="E14" s="448">
        <f t="shared" si="0"/>
        <v>800667</v>
      </c>
      <c r="F14" s="722">
        <f t="shared" si="1"/>
        <v>188429</v>
      </c>
      <c r="G14" s="448">
        <f t="shared" si="2"/>
        <v>13101067</v>
      </c>
      <c r="H14" s="725" t="s">
        <v>16</v>
      </c>
    </row>
    <row r="15" spans="1:9" s="211" customFormat="1" ht="15" customHeight="1" x14ac:dyDescent="0.25">
      <c r="A15" s="277" t="s">
        <v>5</v>
      </c>
      <c r="B15" s="278">
        <v>8318</v>
      </c>
      <c r="C15" s="214">
        <f t="shared" si="3"/>
        <v>582260</v>
      </c>
      <c r="D15" s="278">
        <v>1483</v>
      </c>
      <c r="E15" s="214">
        <f t="shared" si="0"/>
        <v>93429</v>
      </c>
      <c r="F15" s="278">
        <f t="shared" si="1"/>
        <v>9801</v>
      </c>
      <c r="G15" s="214">
        <f t="shared" si="2"/>
        <v>675689</v>
      </c>
      <c r="H15" s="276" t="s">
        <v>23</v>
      </c>
    </row>
    <row r="16" spans="1:9" s="450" customFormat="1" ht="15" customHeight="1" x14ac:dyDescent="0.25">
      <c r="A16" s="724" t="s">
        <v>6</v>
      </c>
      <c r="B16" s="722">
        <v>16082</v>
      </c>
      <c r="C16" s="448">
        <f t="shared" si="3"/>
        <v>1125740</v>
      </c>
      <c r="D16" s="722">
        <v>1482</v>
      </c>
      <c r="E16" s="448">
        <f t="shared" si="0"/>
        <v>93366</v>
      </c>
      <c r="F16" s="722">
        <f t="shared" si="1"/>
        <v>17564</v>
      </c>
      <c r="G16" s="448">
        <f t="shared" si="2"/>
        <v>1219106</v>
      </c>
      <c r="H16" s="725" t="s">
        <v>24</v>
      </c>
    </row>
    <row r="17" spans="1:10" s="211" customFormat="1" ht="15" customHeight="1" x14ac:dyDescent="0.25">
      <c r="A17" s="277" t="s">
        <v>11</v>
      </c>
      <c r="B17" s="278">
        <v>12889</v>
      </c>
      <c r="C17" s="214">
        <f t="shared" si="3"/>
        <v>902230</v>
      </c>
      <c r="D17" s="278">
        <v>1860</v>
      </c>
      <c r="E17" s="214">
        <f t="shared" si="0"/>
        <v>117180</v>
      </c>
      <c r="F17" s="278">
        <f t="shared" si="1"/>
        <v>14749</v>
      </c>
      <c r="G17" s="214">
        <f t="shared" si="2"/>
        <v>1019410</v>
      </c>
      <c r="H17" s="276" t="s">
        <v>21</v>
      </c>
    </row>
    <row r="18" spans="1:10" s="450" customFormat="1" ht="15" customHeight="1" x14ac:dyDescent="0.25">
      <c r="A18" s="724" t="s">
        <v>2</v>
      </c>
      <c r="B18" s="722">
        <v>7655</v>
      </c>
      <c r="C18" s="448">
        <f>B18*60</f>
        <v>459300</v>
      </c>
      <c r="D18" s="722">
        <v>6545</v>
      </c>
      <c r="E18" s="448">
        <f t="shared" si="0"/>
        <v>412335</v>
      </c>
      <c r="F18" s="722">
        <f t="shared" si="1"/>
        <v>14200</v>
      </c>
      <c r="G18" s="448">
        <f t="shared" si="2"/>
        <v>871635</v>
      </c>
      <c r="H18" s="725" t="s">
        <v>14</v>
      </c>
    </row>
    <row r="19" spans="1:10" s="211" customFormat="1" ht="15" customHeight="1" x14ac:dyDescent="0.25">
      <c r="A19" s="277" t="s">
        <v>7</v>
      </c>
      <c r="B19" s="278">
        <v>13964</v>
      </c>
      <c r="C19" s="214">
        <f>B19*60</f>
        <v>837840</v>
      </c>
      <c r="D19" s="278">
        <v>2232</v>
      </c>
      <c r="E19" s="214">
        <f t="shared" si="0"/>
        <v>140616</v>
      </c>
      <c r="F19" s="278">
        <f t="shared" si="1"/>
        <v>16196</v>
      </c>
      <c r="G19" s="214">
        <f t="shared" si="2"/>
        <v>978456</v>
      </c>
      <c r="H19" s="276" t="s">
        <v>17</v>
      </c>
    </row>
    <row r="20" spans="1:10" s="450" customFormat="1" ht="15" customHeight="1" x14ac:dyDescent="0.25">
      <c r="A20" s="724" t="s">
        <v>8</v>
      </c>
      <c r="B20" s="722">
        <v>2520</v>
      </c>
      <c r="C20" s="448">
        <f>B20*75</f>
        <v>189000</v>
      </c>
      <c r="D20" s="722">
        <v>594</v>
      </c>
      <c r="E20" s="448">
        <f t="shared" si="0"/>
        <v>37422</v>
      </c>
      <c r="F20" s="722">
        <f t="shared" si="1"/>
        <v>3114</v>
      </c>
      <c r="G20" s="448">
        <f t="shared" si="2"/>
        <v>226422</v>
      </c>
      <c r="H20" s="725" t="s">
        <v>18</v>
      </c>
    </row>
    <row r="21" spans="1:10" s="211" customFormat="1" ht="15" customHeight="1" x14ac:dyDescent="0.25">
      <c r="A21" s="277" t="s">
        <v>9</v>
      </c>
      <c r="B21" s="278">
        <v>3043</v>
      </c>
      <c r="C21" s="214">
        <f>B21*70</f>
        <v>213010</v>
      </c>
      <c r="D21" s="278">
        <v>2287</v>
      </c>
      <c r="E21" s="214">
        <f t="shared" si="0"/>
        <v>144081</v>
      </c>
      <c r="F21" s="278">
        <f t="shared" si="1"/>
        <v>5330</v>
      </c>
      <c r="G21" s="214">
        <f t="shared" si="2"/>
        <v>357091</v>
      </c>
      <c r="H21" s="276" t="s">
        <v>19</v>
      </c>
    </row>
    <row r="22" spans="1:10" s="450" customFormat="1" ht="15" customHeight="1" x14ac:dyDescent="0.25">
      <c r="A22" s="724" t="s">
        <v>10</v>
      </c>
      <c r="B22" s="722">
        <v>6281</v>
      </c>
      <c r="C22" s="448">
        <f>B22*70</f>
        <v>439670</v>
      </c>
      <c r="D22" s="722">
        <v>2052</v>
      </c>
      <c r="E22" s="448">
        <f t="shared" si="0"/>
        <v>129276</v>
      </c>
      <c r="F22" s="722">
        <f t="shared" si="1"/>
        <v>8333</v>
      </c>
      <c r="G22" s="448">
        <f t="shared" si="2"/>
        <v>568946</v>
      </c>
      <c r="H22" s="725" t="s">
        <v>20</v>
      </c>
    </row>
    <row r="23" spans="1:10" s="211" customFormat="1" ht="15" customHeight="1" x14ac:dyDescent="0.25">
      <c r="A23" s="277" t="s">
        <v>12</v>
      </c>
      <c r="B23" s="278">
        <v>3042</v>
      </c>
      <c r="C23" s="214">
        <f>B23*70</f>
        <v>212940</v>
      </c>
      <c r="D23" s="278">
        <v>817</v>
      </c>
      <c r="E23" s="214">
        <f t="shared" si="0"/>
        <v>51471</v>
      </c>
      <c r="F23" s="278">
        <f t="shared" si="1"/>
        <v>3859</v>
      </c>
      <c r="G23" s="214">
        <f t="shared" si="2"/>
        <v>264411</v>
      </c>
      <c r="H23" s="276" t="s">
        <v>25</v>
      </c>
    </row>
    <row r="24" spans="1:10" s="450" customFormat="1" ht="15" customHeight="1" thickBot="1" x14ac:dyDescent="0.3">
      <c r="A24" s="724" t="s">
        <v>13</v>
      </c>
      <c r="B24" s="722">
        <v>26590</v>
      </c>
      <c r="C24" s="448">
        <f>B24*70</f>
        <v>1861300</v>
      </c>
      <c r="D24" s="722">
        <v>2635</v>
      </c>
      <c r="E24" s="448">
        <f t="shared" si="0"/>
        <v>166005</v>
      </c>
      <c r="F24" s="722">
        <f t="shared" si="1"/>
        <v>29225</v>
      </c>
      <c r="G24" s="448">
        <f t="shared" si="2"/>
        <v>2027305</v>
      </c>
      <c r="H24" s="725" t="s">
        <v>22</v>
      </c>
    </row>
    <row r="25" spans="1:10" s="562" customFormat="1" ht="16.5" customHeight="1" thickBot="1" x14ac:dyDescent="0.3">
      <c r="A25" s="719" t="s">
        <v>0</v>
      </c>
      <c r="B25" s="720">
        <f t="shared" ref="B25:G25" si="4">SUM(B10:B24)</f>
        <v>349105</v>
      </c>
      <c r="C25" s="720">
        <f t="shared" si="4"/>
        <v>24369555</v>
      </c>
      <c r="D25" s="720">
        <f t="shared" si="4"/>
        <v>56518</v>
      </c>
      <c r="E25" s="720">
        <f>SUM(E10:E24)</f>
        <v>3560634</v>
      </c>
      <c r="F25" s="720">
        <f t="shared" si="4"/>
        <v>405623</v>
      </c>
      <c r="G25" s="560">
        <f t="shared" si="4"/>
        <v>27930189</v>
      </c>
      <c r="H25" s="719" t="s">
        <v>1</v>
      </c>
    </row>
    <row r="26" spans="1:10" ht="33.75" customHeight="1" x14ac:dyDescent="0.2">
      <c r="A26" s="862"/>
      <c r="B26" s="862"/>
      <c r="C26" s="862"/>
      <c r="D26" s="862"/>
      <c r="E26" s="7"/>
      <c r="F26" s="7"/>
      <c r="G26" s="7"/>
      <c r="H26" s="879"/>
      <c r="I26" s="879"/>
      <c r="J26" s="6"/>
    </row>
    <row r="27" spans="1:10" ht="15" customHeight="1" x14ac:dyDescent="0.2">
      <c r="B27" s="331"/>
      <c r="C27" s="331"/>
      <c r="D27" s="331"/>
      <c r="E27" s="331"/>
      <c r="F27" s="331"/>
      <c r="G27" s="331"/>
      <c r="H27" s="331"/>
    </row>
  </sheetData>
  <mergeCells count="6">
    <mergeCell ref="G4:H4"/>
    <mergeCell ref="A5:B5"/>
    <mergeCell ref="A1:H1"/>
    <mergeCell ref="A2:H3"/>
    <mergeCell ref="H26:I26"/>
    <mergeCell ref="A26:D26"/>
  </mergeCells>
  <phoneticPr fontId="3" type="noConversion"/>
  <printOptions horizontalCentered="1" verticalCentered="1"/>
  <pageMargins left="0.74803149606299202" right="1.2" top="1.0374015750000001" bottom="0.98425196850393704" header="0.78740157480314998" footer="0.511811023622047"/>
  <pageSetup orientation="landscape" verticalDpi="300" r:id="rId1"/>
  <headerFooter alignWithMargins="0">
    <oddFooter>&amp;C33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SheetLayoutView="100" workbookViewId="0">
      <selection activeCell="G22" sqref="G22"/>
    </sheetView>
  </sheetViews>
  <sheetFormatPr defaultRowHeight="12.75" x14ac:dyDescent="0.2"/>
  <sheetData/>
  <phoneticPr fontId="3" type="noConversion"/>
  <printOptions horizontalCentered="1" verticalCentered="1"/>
  <pageMargins left="1.53" right="1.27" top="1.48" bottom="1.47" header="0.51181102362204722" footer="0.51181102362204722"/>
  <pageSetup orientation="landscape" horizontalDpi="4294967293" verticalDpi="1200" r:id="rId1"/>
  <headerFooter alignWithMargins="0">
    <oddFooter>&amp;C34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M27"/>
  <sheetViews>
    <sheetView rightToLeft="1" showWhiteSpace="0" view="pageLayout" zoomScaleSheetLayoutView="91" workbookViewId="0">
      <selection activeCell="O27" sqref="O27"/>
    </sheetView>
  </sheetViews>
  <sheetFormatPr defaultRowHeight="12.75" x14ac:dyDescent="0.2"/>
  <cols>
    <col min="1" max="1" width="10.85546875" customWidth="1"/>
    <col min="2" max="2" width="8.5703125" style="6" customWidth="1"/>
    <col min="3" max="3" width="10.42578125" style="6" customWidth="1"/>
    <col min="4" max="4" width="11.85546875" style="6" customWidth="1"/>
    <col min="5" max="5" width="12.5703125" style="6" customWidth="1"/>
    <col min="6" max="6" width="11" style="6" customWidth="1"/>
    <col min="7" max="7" width="11.5703125" style="6" customWidth="1"/>
    <col min="8" max="8" width="9.28515625" style="6" customWidth="1"/>
    <col min="9" max="9" width="12.7109375" style="6" customWidth="1"/>
    <col min="10" max="10" width="14.5703125" customWidth="1"/>
    <col min="11" max="11" width="0.28515625" hidden="1" customWidth="1"/>
    <col min="12" max="12" width="11.7109375" customWidth="1"/>
  </cols>
  <sheetData>
    <row r="1" spans="1:39" ht="15" x14ac:dyDescent="0.25">
      <c r="A1" s="821" t="s">
        <v>508</v>
      </c>
      <c r="B1" s="821"/>
      <c r="C1" s="821"/>
      <c r="D1" s="821"/>
      <c r="E1" s="821"/>
      <c r="F1" s="821"/>
      <c r="G1" s="821"/>
      <c r="H1" s="821"/>
      <c r="I1" s="821"/>
      <c r="J1" s="821"/>
      <c r="K1" s="2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</row>
    <row r="2" spans="1:39" ht="15" x14ac:dyDescent="0.25">
      <c r="A2" s="823" t="s">
        <v>425</v>
      </c>
      <c r="B2" s="823"/>
      <c r="C2" s="823"/>
      <c r="D2" s="823"/>
      <c r="E2" s="823"/>
      <c r="F2" s="823"/>
      <c r="G2" s="823"/>
      <c r="H2" s="823"/>
      <c r="I2" s="823"/>
      <c r="J2" s="823"/>
      <c r="K2" s="2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</row>
    <row r="3" spans="1:39" s="7" customFormat="1" ht="15" x14ac:dyDescent="0.25">
      <c r="A3" s="317"/>
      <c r="B3" s="317"/>
      <c r="C3" s="317"/>
      <c r="D3" s="317"/>
      <c r="E3" s="317"/>
      <c r="F3" s="317"/>
      <c r="G3" s="317"/>
      <c r="H3" s="317"/>
      <c r="I3" s="848" t="s">
        <v>223</v>
      </c>
      <c r="J3" s="848"/>
      <c r="K3" s="2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</row>
    <row r="4" spans="1:39" ht="15.75" customHeight="1" thickBot="1" x14ac:dyDescent="0.3">
      <c r="A4" s="830" t="s">
        <v>485</v>
      </c>
      <c r="B4" s="830"/>
      <c r="C4" s="875" t="s">
        <v>289</v>
      </c>
      <c r="D4" s="875"/>
      <c r="E4" s="136"/>
      <c r="F4" s="136"/>
      <c r="G4" s="66"/>
      <c r="H4" s="66"/>
      <c r="I4" s="66" t="s">
        <v>349</v>
      </c>
      <c r="J4" s="63" t="s">
        <v>347</v>
      </c>
      <c r="K4" s="44"/>
      <c r="L4" s="550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</row>
    <row r="5" spans="1:39" ht="15" customHeight="1" x14ac:dyDescent="0.25">
      <c r="A5" s="41"/>
      <c r="B5" s="138" t="s">
        <v>46</v>
      </c>
      <c r="C5" s="138"/>
      <c r="D5" s="138" t="s">
        <v>61</v>
      </c>
      <c r="E5" s="138"/>
      <c r="F5" s="138" t="s">
        <v>62</v>
      </c>
      <c r="G5" s="138"/>
      <c r="H5" s="138" t="s">
        <v>64</v>
      </c>
      <c r="I5" s="139"/>
      <c r="J5" s="29"/>
      <c r="K5" s="42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</row>
    <row r="6" spans="1:39" ht="15" customHeight="1" x14ac:dyDescent="0.25">
      <c r="A6" s="44"/>
      <c r="B6" s="137" t="s">
        <v>174</v>
      </c>
      <c r="C6" s="137"/>
      <c r="D6" s="137" t="s">
        <v>368</v>
      </c>
      <c r="E6" s="137"/>
      <c r="F6" s="137" t="s">
        <v>294</v>
      </c>
      <c r="G6" s="137"/>
      <c r="H6" s="137" t="s">
        <v>293</v>
      </c>
      <c r="I6" s="51"/>
      <c r="J6" s="43"/>
      <c r="K6" s="43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</row>
    <row r="7" spans="1:39" s="550" customFormat="1" ht="15" customHeight="1" x14ac:dyDescent="0.25">
      <c r="A7" s="217"/>
      <c r="B7" s="58" t="s">
        <v>202</v>
      </c>
      <c r="C7" s="58" t="s">
        <v>246</v>
      </c>
      <c r="D7" s="58" t="s">
        <v>202</v>
      </c>
      <c r="E7" s="58" t="s">
        <v>246</v>
      </c>
      <c r="F7" s="58" t="s">
        <v>202</v>
      </c>
      <c r="G7" s="58" t="s">
        <v>246</v>
      </c>
      <c r="H7" s="58" t="s">
        <v>202</v>
      </c>
      <c r="I7" s="58" t="s">
        <v>246</v>
      </c>
      <c r="J7" s="217"/>
      <c r="K7" s="216"/>
    </row>
    <row r="8" spans="1:39" s="557" customFormat="1" ht="15" customHeight="1" thickBot="1" x14ac:dyDescent="0.3">
      <c r="A8" s="554" t="s">
        <v>60</v>
      </c>
      <c r="B8" s="737" t="s">
        <v>138</v>
      </c>
      <c r="C8" s="737" t="s">
        <v>29</v>
      </c>
      <c r="D8" s="737" t="s">
        <v>138</v>
      </c>
      <c r="E8" s="737" t="s">
        <v>29</v>
      </c>
      <c r="F8" s="737" t="s">
        <v>138</v>
      </c>
      <c r="G8" s="737" t="s">
        <v>29</v>
      </c>
      <c r="H8" s="737" t="s">
        <v>138</v>
      </c>
      <c r="I8" s="737" t="s">
        <v>29</v>
      </c>
      <c r="J8" s="595" t="s">
        <v>26</v>
      </c>
      <c r="K8" s="736"/>
    </row>
    <row r="9" spans="1:39" s="549" customFormat="1" ht="15" customHeight="1" x14ac:dyDescent="0.25">
      <c r="A9" s="16" t="s">
        <v>395</v>
      </c>
      <c r="B9" s="86">
        <v>55</v>
      </c>
      <c r="C9" s="86">
        <f>B9*15</f>
        <v>825</v>
      </c>
      <c r="D9" s="87">
        <v>143</v>
      </c>
      <c r="E9" s="87">
        <f>D9*14</f>
        <v>2002</v>
      </c>
      <c r="F9" s="140">
        <v>180</v>
      </c>
      <c r="G9" s="87">
        <f>F9*10</f>
        <v>1800</v>
      </c>
      <c r="H9" s="141">
        <v>0</v>
      </c>
      <c r="I9" s="87">
        <f>H9*36</f>
        <v>0</v>
      </c>
      <c r="J9" s="57" t="s">
        <v>397</v>
      </c>
      <c r="K9" s="45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0"/>
      <c r="Y9" s="550"/>
      <c r="Z9" s="550"/>
      <c r="AA9" s="550"/>
      <c r="AB9" s="550"/>
      <c r="AC9" s="550"/>
      <c r="AD9" s="550"/>
      <c r="AE9" s="550"/>
      <c r="AF9" s="550"/>
      <c r="AG9" s="550"/>
      <c r="AH9" s="550"/>
      <c r="AI9" s="550"/>
      <c r="AJ9" s="550"/>
      <c r="AK9" s="550"/>
      <c r="AL9" s="550"/>
      <c r="AM9" s="550"/>
    </row>
    <row r="10" spans="1:39" s="7" customFormat="1" ht="15" customHeight="1" x14ac:dyDescent="0.25">
      <c r="A10" s="510" t="s">
        <v>30</v>
      </c>
      <c r="B10" s="88">
        <v>138</v>
      </c>
      <c r="C10" s="88">
        <f>B10*10</f>
        <v>1380</v>
      </c>
      <c r="D10" s="89">
        <v>2551</v>
      </c>
      <c r="E10" s="89">
        <f>D10*15</f>
        <v>38265</v>
      </c>
      <c r="F10" s="142">
        <v>1788</v>
      </c>
      <c r="G10" s="89">
        <f>F10*15</f>
        <v>26820</v>
      </c>
      <c r="H10" s="143">
        <v>0</v>
      </c>
      <c r="I10" s="89">
        <f>H10*35</f>
        <v>0</v>
      </c>
      <c r="J10" s="222" t="s">
        <v>31</v>
      </c>
      <c r="K10" s="2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</row>
    <row r="11" spans="1:39" s="447" customFormat="1" ht="15" customHeight="1" x14ac:dyDescent="0.25">
      <c r="A11" s="36" t="s">
        <v>3</v>
      </c>
      <c r="B11" s="86">
        <v>1808</v>
      </c>
      <c r="C11" s="86">
        <f>B11*10</f>
        <v>18080</v>
      </c>
      <c r="D11" s="87">
        <v>4006</v>
      </c>
      <c r="E11" s="87">
        <f t="shared" ref="E11:E13" si="0">D11*15</f>
        <v>60090</v>
      </c>
      <c r="F11" s="140">
        <v>3713</v>
      </c>
      <c r="G11" s="87">
        <f>F11*15</f>
        <v>55695</v>
      </c>
      <c r="H11" s="141">
        <v>0</v>
      </c>
      <c r="I11" s="87">
        <f>H11*25</f>
        <v>0</v>
      </c>
      <c r="J11" s="17" t="s">
        <v>15</v>
      </c>
      <c r="K11" s="10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</row>
    <row r="12" spans="1:39" ht="15" customHeight="1" x14ac:dyDescent="0.25">
      <c r="A12" s="18" t="s">
        <v>381</v>
      </c>
      <c r="B12" s="88">
        <v>130</v>
      </c>
      <c r="C12" s="88">
        <f>B12*10</f>
        <v>1300</v>
      </c>
      <c r="D12" s="89">
        <v>390</v>
      </c>
      <c r="E12" s="89">
        <f t="shared" si="0"/>
        <v>5850</v>
      </c>
      <c r="F12" s="142">
        <v>568</v>
      </c>
      <c r="G12" s="89">
        <f>F12*20</f>
        <v>11360</v>
      </c>
      <c r="H12" s="143">
        <v>4</v>
      </c>
      <c r="I12" s="89">
        <f>H12*37</f>
        <v>148</v>
      </c>
      <c r="J12" s="20" t="s">
        <v>371</v>
      </c>
      <c r="K12" s="2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</row>
    <row r="13" spans="1:39" s="447" customFormat="1" ht="15" customHeight="1" x14ac:dyDescent="0.25">
      <c r="A13" s="36" t="s">
        <v>4</v>
      </c>
      <c r="B13" s="86">
        <v>7117</v>
      </c>
      <c r="C13" s="86">
        <f>B13*10</f>
        <v>71170</v>
      </c>
      <c r="D13" s="87">
        <v>18471</v>
      </c>
      <c r="E13" s="87">
        <f t="shared" si="0"/>
        <v>277065</v>
      </c>
      <c r="F13" s="140">
        <v>10336</v>
      </c>
      <c r="G13" s="87">
        <f>F13*20</f>
        <v>206720</v>
      </c>
      <c r="H13" s="141">
        <v>501</v>
      </c>
      <c r="I13" s="87">
        <f>H13*40</f>
        <v>20040</v>
      </c>
      <c r="J13" s="17" t="s">
        <v>16</v>
      </c>
      <c r="K13" s="10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</row>
    <row r="14" spans="1:39" ht="15" customHeight="1" x14ac:dyDescent="0.25">
      <c r="A14" s="58" t="s">
        <v>5</v>
      </c>
      <c r="B14" s="90">
        <v>1203</v>
      </c>
      <c r="C14" s="88">
        <f>B14*10</f>
        <v>12030</v>
      </c>
      <c r="D14" s="214">
        <v>2749</v>
      </c>
      <c r="E14" s="214">
        <f>D14*10</f>
        <v>27490</v>
      </c>
      <c r="F14" s="279">
        <v>1325</v>
      </c>
      <c r="G14" s="214">
        <f>F14*15</f>
        <v>19875</v>
      </c>
      <c r="H14" s="280">
        <v>49</v>
      </c>
      <c r="I14" s="214">
        <f>H14*20</f>
        <v>980</v>
      </c>
      <c r="J14" s="59" t="s">
        <v>23</v>
      </c>
      <c r="K14" s="2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</row>
    <row r="15" spans="1:39" s="447" customFormat="1" ht="15" customHeight="1" x14ac:dyDescent="0.25">
      <c r="A15" s="36" t="s">
        <v>6</v>
      </c>
      <c r="B15" s="86">
        <v>802</v>
      </c>
      <c r="C15" s="86">
        <f>B15*11</f>
        <v>8822</v>
      </c>
      <c r="D15" s="87">
        <v>1716</v>
      </c>
      <c r="E15" s="87">
        <f>D15*15</f>
        <v>25740</v>
      </c>
      <c r="F15" s="140">
        <v>1406</v>
      </c>
      <c r="G15" s="87">
        <f>F15*20</f>
        <v>28120</v>
      </c>
      <c r="H15" s="141">
        <v>46</v>
      </c>
      <c r="I15" s="87">
        <f>H15*40</f>
        <v>1840</v>
      </c>
      <c r="J15" s="17" t="s">
        <v>24</v>
      </c>
      <c r="K15" s="10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</row>
    <row r="16" spans="1:39" s="211" customFormat="1" ht="14.25" customHeight="1" x14ac:dyDescent="0.25">
      <c r="A16" s="58" t="s">
        <v>11</v>
      </c>
      <c r="B16" s="90">
        <v>1234</v>
      </c>
      <c r="C16" s="90">
        <f>B16*11</f>
        <v>13574</v>
      </c>
      <c r="D16" s="214">
        <v>1762</v>
      </c>
      <c r="E16" s="214">
        <f>D16*15</f>
        <v>26430</v>
      </c>
      <c r="F16" s="279">
        <v>1864</v>
      </c>
      <c r="G16" s="214">
        <f>F16*10</f>
        <v>18640</v>
      </c>
      <c r="H16" s="280">
        <v>155</v>
      </c>
      <c r="I16" s="214">
        <f>H16*25</f>
        <v>3875</v>
      </c>
      <c r="J16" s="59" t="s">
        <v>21</v>
      </c>
      <c r="K16" s="75"/>
    </row>
    <row r="17" spans="1:39" s="447" customFormat="1" ht="15" customHeight="1" x14ac:dyDescent="0.25">
      <c r="A17" s="36" t="s">
        <v>2</v>
      </c>
      <c r="B17" s="86">
        <v>161</v>
      </c>
      <c r="C17" s="86">
        <f>B17*10</f>
        <v>1610</v>
      </c>
      <c r="D17" s="87">
        <v>857</v>
      </c>
      <c r="E17" s="87">
        <f>D17*15</f>
        <v>12855</v>
      </c>
      <c r="F17" s="140">
        <v>926</v>
      </c>
      <c r="G17" s="87">
        <f>F17*15</f>
        <v>13890</v>
      </c>
      <c r="H17" s="141">
        <v>0</v>
      </c>
      <c r="I17" s="87">
        <f>H17*30</f>
        <v>0</v>
      </c>
      <c r="J17" s="735" t="s">
        <v>14</v>
      </c>
      <c r="K17" s="10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</row>
    <row r="18" spans="1:39" s="211" customFormat="1" ht="15" customHeight="1" x14ac:dyDescent="0.25">
      <c r="A18" s="58" t="s">
        <v>7</v>
      </c>
      <c r="B18" s="90">
        <v>3871</v>
      </c>
      <c r="C18" s="90">
        <f t="shared" ref="C18:C19" si="1">B18*10</f>
        <v>38710</v>
      </c>
      <c r="D18" s="214">
        <v>2587</v>
      </c>
      <c r="E18" s="214">
        <f>D18*10</f>
        <v>25870</v>
      </c>
      <c r="F18" s="279">
        <v>1843</v>
      </c>
      <c r="G18" s="214">
        <f>F18*15</f>
        <v>27645</v>
      </c>
      <c r="H18" s="280">
        <v>0</v>
      </c>
      <c r="I18" s="214">
        <f>H18*30</f>
        <v>0</v>
      </c>
      <c r="J18" s="59" t="s">
        <v>17</v>
      </c>
      <c r="K18" s="75"/>
    </row>
    <row r="19" spans="1:39" s="447" customFormat="1" ht="15" customHeight="1" x14ac:dyDescent="0.25">
      <c r="A19" s="36" t="s">
        <v>8</v>
      </c>
      <c r="B19" s="86">
        <v>612</v>
      </c>
      <c r="C19" s="86">
        <f t="shared" si="1"/>
        <v>6120</v>
      </c>
      <c r="D19" s="87">
        <v>810</v>
      </c>
      <c r="E19" s="87">
        <f>D19*15</f>
        <v>12150</v>
      </c>
      <c r="F19" s="140">
        <v>631</v>
      </c>
      <c r="G19" s="87">
        <f>F19*20</f>
        <v>12620</v>
      </c>
      <c r="H19" s="141">
        <v>0</v>
      </c>
      <c r="I19" s="87">
        <f>H19*25</f>
        <v>0</v>
      </c>
      <c r="J19" s="17" t="s">
        <v>18</v>
      </c>
      <c r="K19" s="10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</row>
    <row r="20" spans="1:39" s="211" customFormat="1" ht="14.25" customHeight="1" x14ac:dyDescent="0.25">
      <c r="A20" s="58" t="s">
        <v>9</v>
      </c>
      <c r="B20" s="90">
        <v>629</v>
      </c>
      <c r="C20" s="90">
        <f>B20*11</f>
        <v>6919</v>
      </c>
      <c r="D20" s="214">
        <v>488</v>
      </c>
      <c r="E20" s="214">
        <f>D20*10</f>
        <v>4880</v>
      </c>
      <c r="F20" s="279">
        <v>796</v>
      </c>
      <c r="G20" s="214">
        <f>F20*15</f>
        <v>11940</v>
      </c>
      <c r="H20" s="280">
        <v>0</v>
      </c>
      <c r="I20" s="214">
        <f>H20*25</f>
        <v>0</v>
      </c>
      <c r="J20" s="59" t="s">
        <v>19</v>
      </c>
      <c r="K20" s="75"/>
    </row>
    <row r="21" spans="1:39" s="447" customFormat="1" ht="12.75" customHeight="1" x14ac:dyDescent="0.25">
      <c r="A21" s="36" t="s">
        <v>10</v>
      </c>
      <c r="B21" s="86">
        <v>1915</v>
      </c>
      <c r="C21" s="86">
        <f>B21*15</f>
        <v>28725</v>
      </c>
      <c r="D21" s="87">
        <v>1722</v>
      </c>
      <c r="E21" s="87">
        <f>D21*10</f>
        <v>17220</v>
      </c>
      <c r="F21" s="140">
        <v>1876</v>
      </c>
      <c r="G21" s="87">
        <f>F21*20</f>
        <v>37520</v>
      </c>
      <c r="H21" s="141">
        <v>0</v>
      </c>
      <c r="I21" s="87">
        <f>H21*25</f>
        <v>0</v>
      </c>
      <c r="J21" s="17" t="s">
        <v>20</v>
      </c>
      <c r="K21" s="10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</row>
    <row r="22" spans="1:39" ht="15" customHeight="1" x14ac:dyDescent="0.25">
      <c r="A22" s="58" t="s">
        <v>12</v>
      </c>
      <c r="B22" s="90">
        <v>364</v>
      </c>
      <c r="C22" s="90">
        <f>B22*11</f>
        <v>4004</v>
      </c>
      <c r="D22" s="214">
        <v>769</v>
      </c>
      <c r="E22" s="214">
        <f>D22*15</f>
        <v>11535</v>
      </c>
      <c r="F22" s="279">
        <v>616</v>
      </c>
      <c r="G22" s="214">
        <f>F22*15</f>
        <v>9240</v>
      </c>
      <c r="H22" s="280">
        <v>18</v>
      </c>
      <c r="I22" s="214">
        <f>H22*30</f>
        <v>540</v>
      </c>
      <c r="J22" s="59" t="s">
        <v>25</v>
      </c>
      <c r="K22" s="2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</row>
    <row r="23" spans="1:39" s="447" customFormat="1" ht="15" customHeight="1" thickBot="1" x14ac:dyDescent="0.3">
      <c r="A23" s="36" t="s">
        <v>13</v>
      </c>
      <c r="B23" s="86">
        <v>2647</v>
      </c>
      <c r="C23" s="86">
        <f>B23*11</f>
        <v>29117</v>
      </c>
      <c r="D23" s="87">
        <v>1535</v>
      </c>
      <c r="E23" s="87">
        <f>D23*15</f>
        <v>23025</v>
      </c>
      <c r="F23" s="140">
        <v>2630</v>
      </c>
      <c r="G23" s="87">
        <f>F23*15</f>
        <v>39450</v>
      </c>
      <c r="H23" s="141">
        <v>24</v>
      </c>
      <c r="I23" s="87">
        <f>H23*40</f>
        <v>960</v>
      </c>
      <c r="J23" s="17" t="s">
        <v>22</v>
      </c>
      <c r="K23" s="10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</row>
    <row r="24" spans="1:39" s="211" customFormat="1" ht="17.25" customHeight="1" thickBot="1" x14ac:dyDescent="0.3">
      <c r="A24" s="263" t="s">
        <v>0</v>
      </c>
      <c r="B24" s="255">
        <f t="shared" ref="B24:I24" si="2">SUM(B9:B23)</f>
        <v>22686</v>
      </c>
      <c r="C24" s="255">
        <f t="shared" si="2"/>
        <v>242386</v>
      </c>
      <c r="D24" s="255">
        <f t="shared" si="2"/>
        <v>40556</v>
      </c>
      <c r="E24" s="255">
        <f t="shared" si="2"/>
        <v>570467</v>
      </c>
      <c r="F24" s="255">
        <f t="shared" si="2"/>
        <v>30498</v>
      </c>
      <c r="G24" s="255">
        <f t="shared" si="2"/>
        <v>521335</v>
      </c>
      <c r="H24" s="255">
        <f t="shared" si="2"/>
        <v>797</v>
      </c>
      <c r="I24" s="255">
        <f t="shared" si="2"/>
        <v>28383</v>
      </c>
      <c r="J24" s="264" t="s">
        <v>1</v>
      </c>
      <c r="K24" s="75"/>
    </row>
    <row r="25" spans="1:39" s="7" customFormat="1" ht="17.25" customHeight="1" thickTop="1" x14ac:dyDescent="0.25">
      <c r="A25" s="862"/>
      <c r="B25" s="862"/>
      <c r="C25" s="862"/>
      <c r="D25" s="862"/>
      <c r="E25" s="862"/>
      <c r="F25" s="862"/>
      <c r="G25" s="862"/>
      <c r="H25" s="862"/>
      <c r="I25" s="90"/>
      <c r="J25" s="59"/>
      <c r="K25" s="21"/>
    </row>
    <row r="26" spans="1:39" ht="14.25" x14ac:dyDescent="0.2">
      <c r="C26" s="7"/>
      <c r="D26" s="7"/>
      <c r="E26" s="7"/>
      <c r="F26" s="7"/>
      <c r="G26" s="7"/>
      <c r="J26" s="258"/>
    </row>
    <row r="27" spans="1:39" ht="16.5" customHeight="1" x14ac:dyDescent="0.25">
      <c r="A27" s="880"/>
      <c r="B27" s="880"/>
      <c r="C27" s="7"/>
      <c r="D27" s="7"/>
      <c r="E27" s="7"/>
      <c r="F27" s="7"/>
      <c r="G27" s="84"/>
      <c r="I27" s="881"/>
      <c r="J27" s="881"/>
    </row>
  </sheetData>
  <mergeCells count="8">
    <mergeCell ref="I3:J3"/>
    <mergeCell ref="A27:B27"/>
    <mergeCell ref="I27:J27"/>
    <mergeCell ref="A1:J1"/>
    <mergeCell ref="A2:J2"/>
    <mergeCell ref="A4:B4"/>
    <mergeCell ref="C4:D4"/>
    <mergeCell ref="A25:H25"/>
  </mergeCells>
  <phoneticPr fontId="3" type="noConversion"/>
  <printOptions horizontalCentered="1" verticalCentered="1"/>
  <pageMargins left="1.1399999999999999" right="0.75" top="0.65" bottom="0.98425196850393704" header="0.89" footer="0.511811023622047"/>
  <pageSetup scale="99" orientation="landscape" verticalDpi="300" r:id="rId1"/>
  <headerFooter alignWithMargins="0">
    <oddFooter>&amp;C35</oddFooter>
  </headerFooter>
  <cellWatches>
    <cellWatch r="C9"/>
  </cellWatch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4"/>
  <sheetViews>
    <sheetView rightToLeft="1" view="pageLayout" topLeftCell="G1" zoomScaleSheetLayoutView="95" workbookViewId="0">
      <selection activeCell="W1" sqref="L1:W1048576"/>
    </sheetView>
  </sheetViews>
  <sheetFormatPr defaultRowHeight="12.75" x14ac:dyDescent="0.2"/>
  <cols>
    <col min="1" max="1" width="9.5703125" customWidth="1"/>
    <col min="2" max="2" width="11.140625" customWidth="1"/>
    <col min="3" max="3" width="12.5703125" customWidth="1"/>
    <col min="4" max="4" width="9.42578125" customWidth="1"/>
    <col min="5" max="5" width="12" customWidth="1"/>
    <col min="6" max="6" width="10.28515625" customWidth="1"/>
    <col min="7" max="7" width="11" customWidth="1"/>
    <col min="8" max="8" width="0.140625" style="7" customWidth="1"/>
    <col min="9" max="9" width="13.28515625" customWidth="1"/>
    <col min="10" max="10" width="9.85546875" customWidth="1"/>
    <col min="11" max="11" width="17" customWidth="1"/>
  </cols>
  <sheetData>
    <row r="1" spans="1:11" ht="15" customHeight="1" x14ac:dyDescent="0.2">
      <c r="A1" s="821" t="s">
        <v>509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</row>
    <row r="2" spans="1:11" ht="12.75" customHeight="1" x14ac:dyDescent="0.2">
      <c r="A2" s="866" t="s">
        <v>429</v>
      </c>
      <c r="B2" s="866"/>
      <c r="C2" s="866"/>
      <c r="D2" s="866"/>
      <c r="E2" s="866"/>
      <c r="F2" s="866"/>
      <c r="G2" s="866"/>
      <c r="H2" s="866"/>
      <c r="I2" s="866"/>
      <c r="J2" s="866"/>
      <c r="K2" s="866"/>
    </row>
    <row r="3" spans="1:11" s="7" customFormat="1" ht="12.75" customHeight="1" x14ac:dyDescent="0.25">
      <c r="A3" s="317"/>
      <c r="B3" s="317"/>
      <c r="C3" s="317"/>
      <c r="D3" s="317"/>
      <c r="E3" s="317"/>
      <c r="F3" s="317"/>
      <c r="G3" s="317"/>
      <c r="H3" s="414"/>
      <c r="I3" s="317"/>
      <c r="J3" s="848" t="s">
        <v>223</v>
      </c>
      <c r="K3" s="848"/>
    </row>
    <row r="4" spans="1:11" ht="31.5" customHeight="1" thickBot="1" x14ac:dyDescent="0.3">
      <c r="A4" s="830" t="s">
        <v>483</v>
      </c>
      <c r="B4" s="830"/>
      <c r="C4" s="875" t="s">
        <v>289</v>
      </c>
      <c r="D4" s="875"/>
      <c r="E4" s="25"/>
      <c r="F4" s="27"/>
      <c r="G4" s="27"/>
      <c r="H4" s="25"/>
      <c r="I4" s="25"/>
      <c r="J4" s="66" t="s">
        <v>295</v>
      </c>
      <c r="K4" s="340" t="s">
        <v>350</v>
      </c>
    </row>
    <row r="5" spans="1:11" ht="30" customHeight="1" x14ac:dyDescent="0.25">
      <c r="A5" s="10"/>
      <c r="B5" s="40" t="s">
        <v>65</v>
      </c>
      <c r="C5" s="39"/>
      <c r="D5" s="40" t="s">
        <v>63</v>
      </c>
      <c r="E5" s="39"/>
      <c r="F5" s="40" t="s">
        <v>66</v>
      </c>
      <c r="G5" s="39"/>
      <c r="H5" s="417" t="s">
        <v>36</v>
      </c>
      <c r="I5" s="79" t="s">
        <v>0</v>
      </c>
      <c r="J5" s="135"/>
      <c r="K5" s="10"/>
    </row>
    <row r="6" spans="1:11" ht="29.25" customHeight="1" x14ac:dyDescent="0.25">
      <c r="A6" s="21"/>
      <c r="B6" s="42" t="s">
        <v>220</v>
      </c>
      <c r="C6" s="42"/>
      <c r="D6" s="238" t="s">
        <v>296</v>
      </c>
      <c r="E6" s="42"/>
      <c r="F6" s="225" t="s">
        <v>221</v>
      </c>
      <c r="G6" s="42"/>
      <c r="H6" s="415"/>
      <c r="I6" s="26" t="s">
        <v>1</v>
      </c>
      <c r="J6" s="35"/>
      <c r="K6" s="21"/>
    </row>
    <row r="7" spans="1:11" s="550" customFormat="1" ht="12.75" customHeight="1" x14ac:dyDescent="0.2">
      <c r="A7" s="217"/>
      <c r="B7" s="503" t="s">
        <v>243</v>
      </c>
      <c r="C7" s="503" t="s">
        <v>246</v>
      </c>
      <c r="D7" s="503" t="s">
        <v>243</v>
      </c>
      <c r="E7" s="503" t="s">
        <v>246</v>
      </c>
      <c r="F7" s="503" t="s">
        <v>243</v>
      </c>
      <c r="G7" s="503" t="s">
        <v>246</v>
      </c>
      <c r="H7" s="503" t="s">
        <v>246</v>
      </c>
      <c r="I7" s="503" t="s">
        <v>243</v>
      </c>
      <c r="J7" s="505" t="s">
        <v>246</v>
      </c>
      <c r="K7" s="500"/>
    </row>
    <row r="8" spans="1:11" s="599" customFormat="1" ht="15" customHeight="1" thickBot="1" x14ac:dyDescent="0.25">
      <c r="A8" s="596" t="s">
        <v>60</v>
      </c>
      <c r="B8" s="597" t="s">
        <v>138</v>
      </c>
      <c r="C8" s="597" t="s">
        <v>297</v>
      </c>
      <c r="D8" s="597" t="s">
        <v>138</v>
      </c>
      <c r="E8" s="597" t="s">
        <v>297</v>
      </c>
      <c r="F8" s="597" t="s">
        <v>138</v>
      </c>
      <c r="G8" s="597" t="s">
        <v>29</v>
      </c>
      <c r="H8" s="597"/>
      <c r="I8" s="597" t="s">
        <v>244</v>
      </c>
      <c r="J8" s="597" t="s">
        <v>199</v>
      </c>
      <c r="K8" s="598" t="s">
        <v>26</v>
      </c>
    </row>
    <row r="9" spans="1:11" s="447" customFormat="1" ht="15" customHeight="1" x14ac:dyDescent="0.25">
      <c r="A9" s="16" t="s">
        <v>395</v>
      </c>
      <c r="B9" s="144">
        <v>0</v>
      </c>
      <c r="C9" s="87">
        <f>B9*13</f>
        <v>0</v>
      </c>
      <c r="D9" s="145">
        <v>0</v>
      </c>
      <c r="E9" s="145">
        <f>D9*0</f>
        <v>0</v>
      </c>
      <c r="F9" s="146">
        <v>0</v>
      </c>
      <c r="G9" s="87">
        <f>F9*7</f>
        <v>0</v>
      </c>
      <c r="H9" s="86">
        <f>0*0</f>
        <v>0</v>
      </c>
      <c r="I9" s="146">
        <f>كاشي!B9+كاشي!D9+كاشي!F9+كاشي!H9+كاشي2!B9+كاشي2!D9+كاشي2!F9</f>
        <v>378</v>
      </c>
      <c r="J9" s="146">
        <f>كاشي!C9+كاشي!E9+كاشي!G9+كاشي!I9+كاشي2!C9+كاشي2!E9+كاشي2!G9</f>
        <v>4627</v>
      </c>
      <c r="K9" s="57" t="s">
        <v>397</v>
      </c>
    </row>
    <row r="10" spans="1:11" s="7" customFormat="1" ht="15" customHeight="1" x14ac:dyDescent="0.25">
      <c r="A10" s="510" t="s">
        <v>30</v>
      </c>
      <c r="B10" s="147">
        <v>0</v>
      </c>
      <c r="C10" s="89">
        <f t="shared" ref="C10:C23" si="0">B10*13</f>
        <v>0</v>
      </c>
      <c r="D10" s="148">
        <v>0</v>
      </c>
      <c r="E10" s="148">
        <f>D10*0</f>
        <v>0</v>
      </c>
      <c r="F10" s="149">
        <v>112</v>
      </c>
      <c r="G10" s="89">
        <f t="shared" ref="G10:G23" si="1">F10*7</f>
        <v>784</v>
      </c>
      <c r="H10" s="88">
        <f t="shared" ref="H10:H23" si="2">0*0</f>
        <v>0</v>
      </c>
      <c r="I10" s="149">
        <f>كاشي!B10+كاشي!D10+كاشي!F10+كاشي!H10+كاشي2!B10+كاشي2!D10+كاشي2!F10</f>
        <v>4589</v>
      </c>
      <c r="J10" s="149">
        <f>كاشي!C10+كاشي!E10+كاشي!G10+كاشي!I10+كاشي2!C10+كاشي2!E10+كاشي2!G10</f>
        <v>67249</v>
      </c>
      <c r="K10" s="222" t="s">
        <v>31</v>
      </c>
    </row>
    <row r="11" spans="1:11" s="447" customFormat="1" ht="15" customHeight="1" x14ac:dyDescent="0.25">
      <c r="A11" s="36" t="s">
        <v>3</v>
      </c>
      <c r="B11" s="144">
        <v>0</v>
      </c>
      <c r="C11" s="87">
        <f t="shared" si="0"/>
        <v>0</v>
      </c>
      <c r="D11" s="145">
        <v>0</v>
      </c>
      <c r="E11" s="145">
        <f>D11*50</f>
        <v>0</v>
      </c>
      <c r="F11" s="146">
        <v>206</v>
      </c>
      <c r="G11" s="87">
        <f t="shared" si="1"/>
        <v>1442</v>
      </c>
      <c r="H11" s="86">
        <f t="shared" si="2"/>
        <v>0</v>
      </c>
      <c r="I11" s="146">
        <f>كاشي!B11+كاشي!D11+كاشي!F11+كاشي!H11+كاشي2!B11+كاشي2!D11+كاشي2!F11</f>
        <v>9733</v>
      </c>
      <c r="J11" s="146">
        <f>كاشي!C11+كاشي!E11+كاشي!G11+كاشي!I11+كاشي2!C11+كاشي2!E11+كاشي2!G11</f>
        <v>135307</v>
      </c>
      <c r="K11" s="17" t="s">
        <v>15</v>
      </c>
    </row>
    <row r="12" spans="1:11" s="211" customFormat="1" ht="15" customHeight="1" x14ac:dyDescent="0.25">
      <c r="A12" s="503" t="s">
        <v>381</v>
      </c>
      <c r="B12" s="281">
        <v>0</v>
      </c>
      <c r="C12" s="89">
        <f t="shared" si="0"/>
        <v>0</v>
      </c>
      <c r="D12" s="282">
        <v>0</v>
      </c>
      <c r="E12" s="282">
        <f>D12*40</f>
        <v>0</v>
      </c>
      <c r="F12" s="283">
        <v>49</v>
      </c>
      <c r="G12" s="89">
        <f t="shared" si="1"/>
        <v>343</v>
      </c>
      <c r="H12" s="90">
        <f t="shared" si="2"/>
        <v>0</v>
      </c>
      <c r="I12" s="283">
        <f>كاشي!B12+كاشي!D12+كاشي!F12+كاشي!H12+كاشي2!B12+كاشي2!D12+كاشي2!F12</f>
        <v>1141</v>
      </c>
      <c r="J12" s="149">
        <f>كاشي!C12+كاشي!E12+كاشي!G12+كاشي!I12+كاشي2!C12+كاشي2!E12+كاشي2!G12</f>
        <v>19001</v>
      </c>
      <c r="K12" s="508" t="s">
        <v>371</v>
      </c>
    </row>
    <row r="13" spans="1:11" s="447" customFormat="1" ht="15" customHeight="1" x14ac:dyDescent="0.25">
      <c r="A13" s="36" t="s">
        <v>4</v>
      </c>
      <c r="B13" s="144">
        <v>349</v>
      </c>
      <c r="C13" s="87">
        <f t="shared" si="0"/>
        <v>4537</v>
      </c>
      <c r="D13" s="145">
        <v>3</v>
      </c>
      <c r="E13" s="87">
        <f>D13*70</f>
        <v>210</v>
      </c>
      <c r="F13" s="146">
        <v>575</v>
      </c>
      <c r="G13" s="87">
        <f t="shared" si="1"/>
        <v>4025</v>
      </c>
      <c r="H13" s="86">
        <f t="shared" si="2"/>
        <v>0</v>
      </c>
      <c r="I13" s="146">
        <f>كاشي!B13+كاشي!D13+كاشي!F13+كاشي!H13+كاشي2!B13+كاشي2!D13+كاشي2!F13</f>
        <v>37352</v>
      </c>
      <c r="J13" s="146">
        <f>كاشي!C13+كاشي!E13+كاشي!G13+كاشي!I13+كاشي2!C13+كاشي2!E13+كاشي2!G13</f>
        <v>583767</v>
      </c>
      <c r="K13" s="17" t="s">
        <v>16</v>
      </c>
    </row>
    <row r="14" spans="1:11" ht="15" customHeight="1" x14ac:dyDescent="0.25">
      <c r="A14" s="58" t="s">
        <v>5</v>
      </c>
      <c r="B14" s="281">
        <v>1</v>
      </c>
      <c r="C14" s="89">
        <f t="shared" si="0"/>
        <v>13</v>
      </c>
      <c r="D14" s="282">
        <v>4</v>
      </c>
      <c r="E14" s="214">
        <f>D14*52</f>
        <v>208</v>
      </c>
      <c r="F14" s="283">
        <v>122</v>
      </c>
      <c r="G14" s="89">
        <f t="shared" si="1"/>
        <v>854</v>
      </c>
      <c r="H14" s="88">
        <f t="shared" si="2"/>
        <v>0</v>
      </c>
      <c r="I14" s="149">
        <f>كاشي!B14+كاشي!D14+كاشي!F14+كاشي!H14+كاشي2!B14+كاشي2!D14+كاشي2!F14</f>
        <v>5453</v>
      </c>
      <c r="J14" s="149">
        <f>كاشي!C14+كاشي!E14+كاشي!G14+كاشي!I14+كاشي2!C14+كاشي2!E14+كاشي2!G14</f>
        <v>61450</v>
      </c>
      <c r="K14" s="59" t="s">
        <v>23</v>
      </c>
    </row>
    <row r="15" spans="1:11" s="447" customFormat="1" ht="15" customHeight="1" x14ac:dyDescent="0.25">
      <c r="A15" s="36" t="s">
        <v>6</v>
      </c>
      <c r="B15" s="144">
        <v>7</v>
      </c>
      <c r="C15" s="87">
        <f t="shared" si="0"/>
        <v>91</v>
      </c>
      <c r="D15" s="145">
        <v>178</v>
      </c>
      <c r="E15" s="87">
        <f t="shared" ref="E15:E20" si="3">D15*52</f>
        <v>9256</v>
      </c>
      <c r="F15" s="146">
        <v>51</v>
      </c>
      <c r="G15" s="87">
        <f t="shared" si="1"/>
        <v>357</v>
      </c>
      <c r="H15" s="86">
        <f t="shared" si="2"/>
        <v>0</v>
      </c>
      <c r="I15" s="146">
        <f>كاشي!B15+كاشي!D15+كاشي!F15+كاشي!H15+كاشي2!B15+كاشي2!D15+كاشي2!F15</f>
        <v>4206</v>
      </c>
      <c r="J15" s="146">
        <f>كاشي!C15+كاشي!E15+كاشي!G15+كاشي!I15+كاشي2!C15+كاشي2!E15+كاشي2!G15</f>
        <v>74226</v>
      </c>
      <c r="K15" s="17" t="s">
        <v>24</v>
      </c>
    </row>
    <row r="16" spans="1:11" ht="15" customHeight="1" x14ac:dyDescent="0.25">
      <c r="A16" s="58" t="s">
        <v>11</v>
      </c>
      <c r="B16" s="281">
        <v>2</v>
      </c>
      <c r="C16" s="89">
        <f t="shared" si="0"/>
        <v>26</v>
      </c>
      <c r="D16" s="282">
        <v>0</v>
      </c>
      <c r="E16" s="214">
        <f t="shared" si="3"/>
        <v>0</v>
      </c>
      <c r="F16" s="283">
        <v>176</v>
      </c>
      <c r="G16" s="89">
        <f t="shared" si="1"/>
        <v>1232</v>
      </c>
      <c r="H16" s="88">
        <f t="shared" si="2"/>
        <v>0</v>
      </c>
      <c r="I16" s="149">
        <f>كاشي!B16+كاشي!D16+كاشي!F16+كاشي!H16+كاشي2!B16+كاشي2!D16+كاشي2!F16</f>
        <v>5193</v>
      </c>
      <c r="J16" s="149">
        <f>كاشي!C16+كاشي!E16+كاشي!G16+كاشي!I16+كاشي2!C16+كاشي2!E16+كاشي2!G16</f>
        <v>63777</v>
      </c>
      <c r="K16" s="59" t="s">
        <v>21</v>
      </c>
    </row>
    <row r="17" spans="1:11" s="447" customFormat="1" ht="15" customHeight="1" x14ac:dyDescent="0.25">
      <c r="A17" s="36" t="s">
        <v>2</v>
      </c>
      <c r="B17" s="144">
        <v>1</v>
      </c>
      <c r="C17" s="87">
        <f t="shared" si="0"/>
        <v>13</v>
      </c>
      <c r="D17" s="145">
        <v>0</v>
      </c>
      <c r="E17" s="87">
        <f>D17*50</f>
        <v>0</v>
      </c>
      <c r="F17" s="146">
        <v>56</v>
      </c>
      <c r="G17" s="87">
        <f t="shared" si="1"/>
        <v>392</v>
      </c>
      <c r="H17" s="86">
        <f t="shared" si="2"/>
        <v>0</v>
      </c>
      <c r="I17" s="146">
        <f>كاشي!B17+كاشي!D17+كاشي!F17+كاشي!H17+كاشي2!B17+كاشي2!D17+كاشي2!F17</f>
        <v>2001</v>
      </c>
      <c r="J17" s="146">
        <f>كاشي!C17+كاشي!E17+كاشي!G17+كاشي!I17+كاشي2!C17+كاشي2!E17+كاشي2!G17</f>
        <v>28760</v>
      </c>
      <c r="K17" s="17" t="s">
        <v>14</v>
      </c>
    </row>
    <row r="18" spans="1:11" ht="15" customHeight="1" x14ac:dyDescent="0.25">
      <c r="A18" s="58" t="s">
        <v>7</v>
      </c>
      <c r="B18" s="281">
        <v>4</v>
      </c>
      <c r="C18" s="89">
        <f t="shared" si="0"/>
        <v>52</v>
      </c>
      <c r="D18" s="282">
        <v>0</v>
      </c>
      <c r="E18" s="214">
        <f t="shared" si="3"/>
        <v>0</v>
      </c>
      <c r="F18" s="283">
        <v>159</v>
      </c>
      <c r="G18" s="89">
        <f t="shared" si="1"/>
        <v>1113</v>
      </c>
      <c r="H18" s="88">
        <f t="shared" si="2"/>
        <v>0</v>
      </c>
      <c r="I18" s="149">
        <f>كاشي!B18+كاشي!D18+كاشي!F18+كاشي!H18+كاشي2!B18+كاشي2!D18+كاشي2!F18</f>
        <v>8464</v>
      </c>
      <c r="J18" s="149">
        <f>كاشي!C18+كاشي!E18+كاشي!G18+كاشي!I18+كاشي2!C18+كاشي2!E18+كاشي2!G18</f>
        <v>93390</v>
      </c>
      <c r="K18" s="59" t="s">
        <v>17</v>
      </c>
    </row>
    <row r="19" spans="1:11" s="447" customFormat="1" ht="15" customHeight="1" x14ac:dyDescent="0.25">
      <c r="A19" s="36" t="s">
        <v>8</v>
      </c>
      <c r="B19" s="144">
        <v>0</v>
      </c>
      <c r="C19" s="87">
        <f t="shared" si="0"/>
        <v>0</v>
      </c>
      <c r="D19" s="145">
        <v>0</v>
      </c>
      <c r="E19" s="87">
        <f t="shared" si="3"/>
        <v>0</v>
      </c>
      <c r="F19" s="146">
        <v>58</v>
      </c>
      <c r="G19" s="87">
        <f t="shared" si="1"/>
        <v>406</v>
      </c>
      <c r="H19" s="86">
        <f t="shared" si="2"/>
        <v>0</v>
      </c>
      <c r="I19" s="146">
        <f>كاشي!B19+كاشي!D19+كاشي!F19+كاشي!H19+كاشي2!B19+كاشي2!D19+كاشي2!F19</f>
        <v>2111</v>
      </c>
      <c r="J19" s="146">
        <f>كاشي!C19+كاشي!E19+كاشي!G19+كاشي!I19+كاشي2!C19+كاشي2!E19+كاشي2!G19</f>
        <v>31296</v>
      </c>
      <c r="K19" s="17" t="s">
        <v>18</v>
      </c>
    </row>
    <row r="20" spans="1:11" s="211" customFormat="1" ht="15" customHeight="1" x14ac:dyDescent="0.25">
      <c r="A20" s="58" t="s">
        <v>9</v>
      </c>
      <c r="B20" s="281">
        <v>0</v>
      </c>
      <c r="C20" s="89">
        <f t="shared" si="0"/>
        <v>0</v>
      </c>
      <c r="D20" s="282">
        <v>0</v>
      </c>
      <c r="E20" s="214">
        <f t="shared" si="3"/>
        <v>0</v>
      </c>
      <c r="F20" s="283">
        <v>41</v>
      </c>
      <c r="G20" s="89">
        <f t="shared" si="1"/>
        <v>287</v>
      </c>
      <c r="H20" s="90">
        <f t="shared" si="2"/>
        <v>0</v>
      </c>
      <c r="I20" s="283">
        <f>كاشي!B20+كاشي!D20+كاشي!F20+كاشي!H20+كاشي2!B20+كاشي2!D20+كاشي2!F20</f>
        <v>1954</v>
      </c>
      <c r="J20" s="149">
        <f>كاشي!C20+كاشي!E20+كاشي!G20+كاشي!I20+كاشي2!C20+كاشي2!E20+كاشي2!G20</f>
        <v>24026</v>
      </c>
      <c r="K20" s="59" t="s">
        <v>19</v>
      </c>
    </row>
    <row r="21" spans="1:11" s="447" customFormat="1" ht="15" customHeight="1" x14ac:dyDescent="0.25">
      <c r="A21" s="36" t="s">
        <v>10</v>
      </c>
      <c r="B21" s="144">
        <v>1</v>
      </c>
      <c r="C21" s="87">
        <f t="shared" si="0"/>
        <v>13</v>
      </c>
      <c r="D21" s="145">
        <v>0</v>
      </c>
      <c r="E21" s="145">
        <f>D21*50</f>
        <v>0</v>
      </c>
      <c r="F21" s="146">
        <v>94</v>
      </c>
      <c r="G21" s="87">
        <f t="shared" si="1"/>
        <v>658</v>
      </c>
      <c r="H21" s="86">
        <f t="shared" si="2"/>
        <v>0</v>
      </c>
      <c r="I21" s="146">
        <f>كاشي!B21+كاشي!D21+كاشي!F21+كاشي!H21+كاشي2!B21+كاشي2!D21+كاشي2!F21</f>
        <v>5608</v>
      </c>
      <c r="J21" s="146">
        <f>كاشي!C21+كاشي!E21+كاشي!G21+كاشي!I21+كاشي2!C21+كاشي2!E21+كاشي2!G21</f>
        <v>84136</v>
      </c>
      <c r="K21" s="17" t="s">
        <v>20</v>
      </c>
    </row>
    <row r="22" spans="1:11" s="211" customFormat="1" ht="15" customHeight="1" x14ac:dyDescent="0.25">
      <c r="A22" s="58" t="s">
        <v>12</v>
      </c>
      <c r="B22" s="281">
        <v>0</v>
      </c>
      <c r="C22" s="89">
        <f t="shared" si="0"/>
        <v>0</v>
      </c>
      <c r="D22" s="282">
        <v>0</v>
      </c>
      <c r="E22" s="282">
        <f>D22*50</f>
        <v>0</v>
      </c>
      <c r="F22" s="283">
        <v>28</v>
      </c>
      <c r="G22" s="89">
        <f t="shared" si="1"/>
        <v>196</v>
      </c>
      <c r="H22" s="90">
        <f t="shared" si="2"/>
        <v>0</v>
      </c>
      <c r="I22" s="283">
        <f>كاشي!B22+كاشي!D22+كاشي!F22+كاشي!H22+كاشي2!B22+كاشي2!D22+كاشي2!F22</f>
        <v>1795</v>
      </c>
      <c r="J22" s="149">
        <f>كاشي!C22+كاشي!E22+كاشي!G22+كاشي!I22+كاشي2!C22+كاشي2!E22+كاشي2!G22</f>
        <v>25515</v>
      </c>
      <c r="K22" s="59" t="s">
        <v>25</v>
      </c>
    </row>
    <row r="23" spans="1:11" s="549" customFormat="1" ht="15" customHeight="1" thickBot="1" x14ac:dyDescent="0.3">
      <c r="A23" s="36" t="s">
        <v>13</v>
      </c>
      <c r="B23" s="144">
        <v>52</v>
      </c>
      <c r="C23" s="87">
        <f t="shared" si="0"/>
        <v>676</v>
      </c>
      <c r="D23" s="145">
        <v>0</v>
      </c>
      <c r="E23" s="145">
        <f>D23*52</f>
        <v>0</v>
      </c>
      <c r="F23" s="146">
        <v>127</v>
      </c>
      <c r="G23" s="87">
        <f t="shared" si="1"/>
        <v>889</v>
      </c>
      <c r="H23" s="86">
        <f t="shared" si="2"/>
        <v>0</v>
      </c>
      <c r="I23" s="146">
        <f>كاشي!B23+كاشي!D23+كاشي!F23+كاشي!H23+كاشي2!B23+كاشي2!D23+كاشي2!F23</f>
        <v>7015</v>
      </c>
      <c r="J23" s="146">
        <f>كاشي!C23+كاشي!E23+كاشي!G23+كاشي!I23+كاشي2!C23+كاشي2!E23+كاشي2!G23</f>
        <v>94117</v>
      </c>
      <c r="K23" s="17" t="s">
        <v>22</v>
      </c>
    </row>
    <row r="24" spans="1:11" s="562" customFormat="1" ht="17.25" customHeight="1" thickBot="1" x14ac:dyDescent="0.25">
      <c r="A24" s="813" t="s">
        <v>0</v>
      </c>
      <c r="B24" s="559">
        <f t="shared" ref="B24:I24" si="4">SUM(B9:B23)</f>
        <v>417</v>
      </c>
      <c r="C24" s="559">
        <f>SUM(C9:C23)</f>
        <v>5421</v>
      </c>
      <c r="D24" s="559">
        <f t="shared" si="4"/>
        <v>185</v>
      </c>
      <c r="E24" s="559">
        <f t="shared" si="4"/>
        <v>9674</v>
      </c>
      <c r="F24" s="559">
        <f t="shared" si="4"/>
        <v>1854</v>
      </c>
      <c r="G24" s="559">
        <f>SUM(G9:G23)</f>
        <v>12978</v>
      </c>
      <c r="H24" s="559">
        <f t="shared" si="4"/>
        <v>0</v>
      </c>
      <c r="I24" s="559">
        <f t="shared" si="4"/>
        <v>96993</v>
      </c>
      <c r="J24" s="559">
        <f>SUM(J9:J23)</f>
        <v>1390644</v>
      </c>
      <c r="K24" s="602" t="s">
        <v>1</v>
      </c>
    </row>
    <row r="25" spans="1:11" ht="15" x14ac:dyDescent="0.2">
      <c r="A25" s="862" t="s">
        <v>500</v>
      </c>
      <c r="B25" s="862"/>
      <c r="C25" s="862"/>
      <c r="D25" s="862"/>
      <c r="E25" s="862"/>
      <c r="F25" s="862"/>
      <c r="G25" s="862"/>
      <c r="H25" s="416"/>
      <c r="I25" s="6"/>
    </row>
    <row r="26" spans="1:11" ht="15" customHeight="1" x14ac:dyDescent="0.2">
      <c r="C26" s="7"/>
      <c r="D26" s="7"/>
      <c r="E26" s="7"/>
      <c r="F26" s="7"/>
      <c r="G26" s="84"/>
      <c r="H26" s="6"/>
      <c r="J26" s="881"/>
      <c r="K26" s="881"/>
    </row>
    <row r="27" spans="1:11" ht="14.25" x14ac:dyDescent="0.2">
      <c r="E27" t="s">
        <v>384</v>
      </c>
      <c r="F27" t="s">
        <v>385</v>
      </c>
      <c r="K27" s="258"/>
    </row>
    <row r="30" spans="1:11" x14ac:dyDescent="0.2">
      <c r="F30" t="s">
        <v>386</v>
      </c>
    </row>
    <row r="31" spans="1:11" x14ac:dyDescent="0.2">
      <c r="E31" t="s">
        <v>383</v>
      </c>
    </row>
    <row r="32" spans="1:11" x14ac:dyDescent="0.2">
      <c r="F32" t="s">
        <v>385</v>
      </c>
    </row>
    <row r="34" spans="6:6" x14ac:dyDescent="0.2">
      <c r="F34" t="s">
        <v>387</v>
      </c>
    </row>
  </sheetData>
  <mergeCells count="7">
    <mergeCell ref="J3:K3"/>
    <mergeCell ref="J26:K26"/>
    <mergeCell ref="A4:B4"/>
    <mergeCell ref="A1:K1"/>
    <mergeCell ref="A2:K2"/>
    <mergeCell ref="C4:D4"/>
    <mergeCell ref="A25:G25"/>
  </mergeCells>
  <phoneticPr fontId="3" type="noConversion"/>
  <printOptions horizontalCentered="1" verticalCentered="1"/>
  <pageMargins left="1.07" right="0.98" top="0.78" bottom="0.98425196850393704" header="0.78740157480314998" footer="0.511811023622047"/>
  <pageSetup scale="97" orientation="landscape" verticalDpi="300" r:id="rId1"/>
  <headerFooter alignWithMargins="0">
    <oddFooter>&amp;C36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26"/>
  <sheetViews>
    <sheetView rightToLeft="1" view="pageBreakPreview" topLeftCell="B1" zoomScaleNormal="100" zoomScaleSheetLayoutView="100" workbookViewId="0">
      <selection activeCell="L1" sqref="L1"/>
    </sheetView>
  </sheetViews>
  <sheetFormatPr defaultRowHeight="12.75" x14ac:dyDescent="0.2"/>
  <cols>
    <col min="1" max="1" width="0.42578125" hidden="1" customWidth="1"/>
    <col min="2" max="2" width="11.7109375" customWidth="1"/>
    <col min="3" max="3" width="7.28515625" customWidth="1"/>
    <col min="4" max="4" width="13.140625" customWidth="1"/>
    <col min="5" max="5" width="17.140625" customWidth="1"/>
    <col min="6" max="6" width="7" customWidth="1"/>
    <col min="7" max="7" width="8.42578125" customWidth="1"/>
    <col min="8" max="8" width="17.5703125" customWidth="1"/>
    <col min="9" max="9" width="7.28515625" customWidth="1"/>
    <col min="10" max="10" width="14.42578125" customWidth="1"/>
    <col min="11" max="11" width="18.5703125" customWidth="1"/>
    <col min="12" max="12" width="12.140625" customWidth="1"/>
  </cols>
  <sheetData>
    <row r="1" spans="2:20" ht="43.5" customHeight="1" x14ac:dyDescent="0.2">
      <c r="B1" s="821" t="s">
        <v>396</v>
      </c>
      <c r="C1" s="821"/>
      <c r="D1" s="821"/>
      <c r="E1" s="821"/>
      <c r="F1" s="821"/>
      <c r="G1" s="821"/>
      <c r="H1" s="821"/>
      <c r="I1" s="821"/>
      <c r="J1" s="821"/>
      <c r="K1" s="821"/>
      <c r="L1" s="234" t="s">
        <v>334</v>
      </c>
    </row>
    <row r="2" spans="2:20" ht="15" customHeight="1" x14ac:dyDescent="0.25">
      <c r="B2" s="825" t="s">
        <v>400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</row>
    <row r="3" spans="2:20" ht="15.75" customHeight="1" thickBot="1" x14ac:dyDescent="0.25">
      <c r="B3" s="232" t="s">
        <v>464</v>
      </c>
      <c r="C3" s="231"/>
      <c r="D3" s="231"/>
      <c r="E3" s="231"/>
      <c r="F3" s="231"/>
      <c r="G3" s="231"/>
      <c r="H3" s="231"/>
      <c r="I3" s="231"/>
      <c r="J3" s="231"/>
      <c r="L3" s="38" t="s">
        <v>90</v>
      </c>
    </row>
    <row r="4" spans="2:20" ht="18.75" customHeight="1" x14ac:dyDescent="0.2">
      <c r="B4" s="39"/>
      <c r="C4" s="822" t="s">
        <v>88</v>
      </c>
      <c r="D4" s="822"/>
      <c r="E4" s="822"/>
      <c r="F4" s="822" t="s">
        <v>89</v>
      </c>
      <c r="G4" s="822"/>
      <c r="H4" s="822"/>
      <c r="I4" s="822" t="s">
        <v>201</v>
      </c>
      <c r="J4" s="822"/>
      <c r="K4" s="822"/>
      <c r="L4" s="233"/>
    </row>
    <row r="5" spans="2:20" ht="14.25" customHeight="1" x14ac:dyDescent="0.25">
      <c r="B5" s="42"/>
      <c r="C5" s="824" t="s">
        <v>165</v>
      </c>
      <c r="D5" s="824"/>
      <c r="E5" s="824"/>
      <c r="F5" s="823" t="s">
        <v>316</v>
      </c>
      <c r="G5" s="823"/>
      <c r="H5" s="823"/>
      <c r="I5" s="30"/>
      <c r="J5" s="30" t="s">
        <v>1</v>
      </c>
      <c r="K5" s="30"/>
    </row>
    <row r="6" spans="2:20" ht="39" customHeight="1" x14ac:dyDescent="0.25">
      <c r="B6" s="522"/>
      <c r="C6" s="496" t="s">
        <v>27</v>
      </c>
      <c r="D6" s="496" t="s">
        <v>216</v>
      </c>
      <c r="E6" s="496" t="s">
        <v>204</v>
      </c>
      <c r="F6" s="496" t="s">
        <v>27</v>
      </c>
      <c r="G6" s="496" t="s">
        <v>216</v>
      </c>
      <c r="H6" s="496" t="s">
        <v>204</v>
      </c>
      <c r="I6" s="496" t="s">
        <v>27</v>
      </c>
      <c r="J6" s="496" t="s">
        <v>216</v>
      </c>
      <c r="K6" s="496" t="s">
        <v>204</v>
      </c>
      <c r="L6" s="481"/>
    </row>
    <row r="7" spans="2:20" ht="44.25" customHeight="1" x14ac:dyDescent="0.2">
      <c r="B7" s="499"/>
      <c r="C7" s="521"/>
      <c r="D7" s="499" t="s">
        <v>143</v>
      </c>
      <c r="E7" s="499" t="s">
        <v>164</v>
      </c>
      <c r="F7" s="521"/>
      <c r="G7" s="499" t="s">
        <v>143</v>
      </c>
      <c r="H7" s="499" t="s">
        <v>91</v>
      </c>
      <c r="I7" s="521"/>
      <c r="J7" s="499" t="s">
        <v>143</v>
      </c>
      <c r="K7" s="499" t="s">
        <v>164</v>
      </c>
      <c r="L7" s="494"/>
    </row>
    <row r="8" spans="2:20" ht="16.5" customHeight="1" thickBot="1" x14ac:dyDescent="0.3">
      <c r="B8" s="230" t="s">
        <v>284</v>
      </c>
      <c r="C8" s="48" t="s">
        <v>139</v>
      </c>
      <c r="D8" s="48" t="s">
        <v>138</v>
      </c>
      <c r="E8" s="47"/>
      <c r="F8" s="48" t="s">
        <v>139</v>
      </c>
      <c r="G8" s="48" t="s">
        <v>138</v>
      </c>
      <c r="H8" s="47"/>
      <c r="I8" s="48" t="s">
        <v>139</v>
      </c>
      <c r="J8" s="48" t="s">
        <v>138</v>
      </c>
      <c r="K8" s="48"/>
      <c r="L8" s="25" t="s">
        <v>340</v>
      </c>
    </row>
    <row r="9" spans="2:20" s="447" customFormat="1" ht="21" customHeight="1" thickTop="1" x14ac:dyDescent="0.2">
      <c r="B9" s="523" t="s">
        <v>274</v>
      </c>
      <c r="C9" s="763">
        <v>7324</v>
      </c>
      <c r="D9" s="213">
        <v>1799098</v>
      </c>
      <c r="E9" s="213">
        <v>891106674</v>
      </c>
      <c r="F9" s="213">
        <v>2291</v>
      </c>
      <c r="G9" s="213">
        <v>348585</v>
      </c>
      <c r="H9" s="213">
        <v>111513702</v>
      </c>
      <c r="I9" s="213">
        <f t="shared" ref="I9:K11" si="0">C9+F9</f>
        <v>9615</v>
      </c>
      <c r="J9" s="213">
        <f t="shared" si="0"/>
        <v>2147683</v>
      </c>
      <c r="K9" s="213">
        <f t="shared" si="0"/>
        <v>1002620376</v>
      </c>
      <c r="L9" s="524" t="s">
        <v>275</v>
      </c>
      <c r="M9"/>
      <c r="N9"/>
      <c r="O9"/>
      <c r="P9"/>
      <c r="Q9"/>
      <c r="R9"/>
      <c r="S9"/>
      <c r="T9"/>
    </row>
    <row r="10" spans="2:20" s="211" customFormat="1" ht="21" customHeight="1" x14ac:dyDescent="0.2">
      <c r="B10" s="505" t="s">
        <v>276</v>
      </c>
      <c r="C10" s="483">
        <v>6</v>
      </c>
      <c r="D10" s="266">
        <v>11497</v>
      </c>
      <c r="E10" s="266">
        <v>4634970</v>
      </c>
      <c r="F10" s="266">
        <v>1</v>
      </c>
      <c r="G10" s="266">
        <v>8736</v>
      </c>
      <c r="H10" s="266">
        <v>3262450</v>
      </c>
      <c r="I10" s="266">
        <f t="shared" si="0"/>
        <v>7</v>
      </c>
      <c r="J10" s="266">
        <f t="shared" si="0"/>
        <v>20233</v>
      </c>
      <c r="K10" s="266">
        <f t="shared" si="0"/>
        <v>7897420</v>
      </c>
      <c r="L10" s="525" t="s">
        <v>195</v>
      </c>
      <c r="M10"/>
      <c r="N10"/>
      <c r="O10"/>
      <c r="P10"/>
      <c r="Q10"/>
      <c r="R10"/>
      <c r="S10"/>
      <c r="T10"/>
    </row>
    <row r="11" spans="2:20" s="447" customFormat="1" ht="25.5" customHeight="1" x14ac:dyDescent="0.2">
      <c r="B11" s="495" t="s">
        <v>277</v>
      </c>
      <c r="C11" s="481">
        <v>175</v>
      </c>
      <c r="D11" s="91">
        <v>207992</v>
      </c>
      <c r="E11" s="91">
        <v>90454071</v>
      </c>
      <c r="F11" s="91">
        <v>12</v>
      </c>
      <c r="G11" s="91">
        <v>9745</v>
      </c>
      <c r="H11" s="91">
        <v>3701449</v>
      </c>
      <c r="I11" s="91">
        <f t="shared" si="0"/>
        <v>187</v>
      </c>
      <c r="J11" s="91">
        <f t="shared" si="0"/>
        <v>217737</v>
      </c>
      <c r="K11" s="91">
        <f t="shared" si="0"/>
        <v>94155520</v>
      </c>
      <c r="L11" s="526" t="s">
        <v>278</v>
      </c>
      <c r="M11"/>
      <c r="N11"/>
      <c r="O11"/>
      <c r="P11"/>
      <c r="Q11"/>
      <c r="R11"/>
      <c r="S11"/>
      <c r="T11"/>
    </row>
    <row r="12" spans="2:20" s="211" customFormat="1" ht="15" customHeight="1" x14ac:dyDescent="0.2">
      <c r="B12" s="505" t="s">
        <v>279</v>
      </c>
      <c r="C12" s="483">
        <v>16</v>
      </c>
      <c r="D12" s="266">
        <v>14319</v>
      </c>
      <c r="E12" s="266">
        <v>5406159</v>
      </c>
      <c r="F12" s="266">
        <v>4</v>
      </c>
      <c r="G12" s="266">
        <v>1234</v>
      </c>
      <c r="H12" s="266">
        <v>379185500</v>
      </c>
      <c r="I12" s="266">
        <f>C12+F12</f>
        <v>20</v>
      </c>
      <c r="J12" s="266">
        <f>D12+F12</f>
        <v>14323</v>
      </c>
      <c r="K12" s="266">
        <f>E12+H12</f>
        <v>384591659</v>
      </c>
      <c r="L12" s="525" t="s">
        <v>280</v>
      </c>
      <c r="M12"/>
      <c r="N12"/>
      <c r="O12"/>
      <c r="P12"/>
      <c r="Q12"/>
      <c r="R12"/>
      <c r="S12"/>
      <c r="T12"/>
    </row>
    <row r="13" spans="2:20" s="447" customFormat="1" ht="21" customHeight="1" x14ac:dyDescent="0.2">
      <c r="B13" s="495" t="s">
        <v>281</v>
      </c>
      <c r="C13" s="481">
        <v>30</v>
      </c>
      <c r="D13" s="91">
        <v>20854</v>
      </c>
      <c r="E13" s="91">
        <v>6467488</v>
      </c>
      <c r="F13" s="91">
        <v>4</v>
      </c>
      <c r="G13" s="91">
        <v>235</v>
      </c>
      <c r="H13" s="91">
        <v>64536</v>
      </c>
      <c r="I13" s="91">
        <f>C13+F13</f>
        <v>34</v>
      </c>
      <c r="J13" s="91">
        <f>D13+G13</f>
        <v>21089</v>
      </c>
      <c r="K13" s="91">
        <f>E13+H13</f>
        <v>6532024</v>
      </c>
      <c r="L13" s="526" t="s">
        <v>278</v>
      </c>
      <c r="M13"/>
      <c r="N13"/>
      <c r="O13"/>
      <c r="P13"/>
      <c r="Q13"/>
      <c r="R13"/>
      <c r="S13"/>
      <c r="T13"/>
    </row>
    <row r="14" spans="2:20" s="211" customFormat="1" ht="15.75" customHeight="1" x14ac:dyDescent="0.2">
      <c r="B14" s="505" t="s">
        <v>282</v>
      </c>
      <c r="C14" s="483">
        <v>18</v>
      </c>
      <c r="D14" s="266">
        <v>11136</v>
      </c>
      <c r="E14" s="266">
        <v>4247302</v>
      </c>
      <c r="F14" s="266">
        <v>7</v>
      </c>
      <c r="G14" s="266">
        <v>4979</v>
      </c>
      <c r="H14" s="266">
        <v>1965035</v>
      </c>
      <c r="I14" s="266">
        <f>C14+F14</f>
        <v>25</v>
      </c>
      <c r="J14" s="266">
        <f>D14+G14</f>
        <v>16115</v>
      </c>
      <c r="K14" s="266">
        <f>E14+H14</f>
        <v>6212337</v>
      </c>
      <c r="L14" s="525" t="s">
        <v>196</v>
      </c>
      <c r="M14"/>
      <c r="N14"/>
      <c r="O14"/>
      <c r="P14"/>
      <c r="Q14"/>
      <c r="R14"/>
      <c r="S14"/>
      <c r="T14"/>
    </row>
    <row r="15" spans="2:20" s="447" customFormat="1" ht="21" customHeight="1" thickBot="1" x14ac:dyDescent="0.25">
      <c r="B15" s="529" t="s">
        <v>283</v>
      </c>
      <c r="C15" s="527">
        <f t="shared" ref="C15:H15" si="1">SUM(C9:C14)</f>
        <v>7569</v>
      </c>
      <c r="D15" s="527">
        <f t="shared" si="1"/>
        <v>2064896</v>
      </c>
      <c r="E15" s="527">
        <f t="shared" si="1"/>
        <v>1002316664</v>
      </c>
      <c r="F15" s="527">
        <f t="shared" si="1"/>
        <v>2319</v>
      </c>
      <c r="G15" s="527">
        <f t="shared" si="1"/>
        <v>373514</v>
      </c>
      <c r="H15" s="527">
        <f t="shared" si="1"/>
        <v>499692672</v>
      </c>
      <c r="I15" s="527">
        <f>C15+F15</f>
        <v>9888</v>
      </c>
      <c r="J15" s="527">
        <f>D15+G15</f>
        <v>2438410</v>
      </c>
      <c r="K15" s="527">
        <f>E15+H15</f>
        <v>1502009336</v>
      </c>
      <c r="L15" s="527" t="s">
        <v>115</v>
      </c>
      <c r="M15"/>
      <c r="N15"/>
      <c r="O15"/>
      <c r="P15"/>
      <c r="Q15"/>
      <c r="R15"/>
      <c r="S15"/>
      <c r="T15"/>
    </row>
    <row r="16" spans="2:20" ht="13.5" thickTop="1" x14ac:dyDescent="0.2">
      <c r="B16" s="337"/>
      <c r="C16" s="337"/>
      <c r="D16" s="337"/>
      <c r="E16" s="337"/>
      <c r="F16" s="337"/>
      <c r="G16" s="337"/>
      <c r="H16" s="337"/>
      <c r="I16" s="337"/>
      <c r="J16" s="337"/>
      <c r="K16" s="313"/>
    </row>
    <row r="17" spans="2:12" ht="13.5" customHeight="1" x14ac:dyDescent="0.2">
      <c r="B17" s="337"/>
      <c r="C17" s="337"/>
      <c r="D17" s="337"/>
      <c r="E17" s="337"/>
      <c r="F17" s="337"/>
      <c r="G17" s="337"/>
      <c r="H17" s="337"/>
      <c r="I17" s="337"/>
      <c r="J17" s="337"/>
      <c r="K17" s="313"/>
    </row>
    <row r="18" spans="2:12" ht="5.25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2:12" ht="15" x14ac:dyDescent="0.2">
      <c r="C19" s="820"/>
      <c r="D19" s="820"/>
      <c r="E19" s="820"/>
      <c r="F19" s="8"/>
      <c r="G19" s="8"/>
      <c r="H19" s="8"/>
      <c r="I19" s="8"/>
      <c r="J19" s="8"/>
      <c r="K19" s="8"/>
      <c r="L19" s="314"/>
    </row>
    <row r="20" spans="2:12" x14ac:dyDescent="0.2">
      <c r="B20" s="15"/>
      <c r="C20" s="15"/>
      <c r="D20" s="15"/>
      <c r="G20" s="15"/>
    </row>
    <row r="26" spans="2:12" x14ac:dyDescent="0.2">
      <c r="J26" s="6"/>
    </row>
  </sheetData>
  <mergeCells count="8">
    <mergeCell ref="C19:E19"/>
    <mergeCell ref="B1:K1"/>
    <mergeCell ref="C4:E4"/>
    <mergeCell ref="F4:H4"/>
    <mergeCell ref="I4:K4"/>
    <mergeCell ref="F5:H5"/>
    <mergeCell ref="C5:E5"/>
    <mergeCell ref="B2:L2"/>
  </mergeCells>
  <phoneticPr fontId="3" type="noConversion"/>
  <printOptions horizontalCentered="1" verticalCentered="1"/>
  <pageMargins left="0.19685039370078741" right="0.2" top="1.32" bottom="1.1200000000000001" header="0.31496062992125984" footer="0.78"/>
  <pageSetup scale="95" orientation="landscape" horizontalDpi="4294967293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Layout" topLeftCell="A4" workbookViewId="0">
      <selection activeCell="G22" sqref="G22"/>
    </sheetView>
  </sheetViews>
  <sheetFormatPr defaultRowHeight="12.75" x14ac:dyDescent="0.2"/>
  <cols>
    <col min="1" max="1" width="7.5703125" customWidth="1"/>
    <col min="3" max="3" width="7.5703125" customWidth="1"/>
  </cols>
  <sheetData/>
  <phoneticPr fontId="3" type="noConversion"/>
  <printOptions horizontalCentered="1" verticalCentered="1"/>
  <pageMargins left="0.91" right="0.97" top="1" bottom="1" header="0.5" footer="0.5"/>
  <pageSetup scale="95" orientation="landscape" horizontalDpi="4294967293" verticalDpi="1200" r:id="rId1"/>
  <headerFooter alignWithMargins="0">
    <oddFooter>&amp;C37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27"/>
  <sheetViews>
    <sheetView rightToLeft="1" view="pageLayout" zoomScaleSheetLayoutView="100" workbookViewId="0">
      <selection activeCell="A27" sqref="A27:B27"/>
    </sheetView>
  </sheetViews>
  <sheetFormatPr defaultRowHeight="12.75" x14ac:dyDescent="0.2"/>
  <cols>
    <col min="1" max="1" width="11.85546875" customWidth="1"/>
    <col min="2" max="2" width="11.140625" customWidth="1"/>
    <col min="3" max="3" width="12.140625" customWidth="1"/>
    <col min="4" max="4" width="12.85546875" customWidth="1"/>
    <col min="5" max="5" width="16.140625" customWidth="1"/>
    <col min="6" max="6" width="12.28515625" style="7" customWidth="1"/>
    <col min="7" max="7" width="14.7109375" customWidth="1"/>
    <col min="8" max="8" width="16.140625" customWidth="1"/>
  </cols>
  <sheetData>
    <row r="1" spans="1:10" ht="15" x14ac:dyDescent="0.2">
      <c r="A1" s="821" t="s">
        <v>430</v>
      </c>
      <c r="B1" s="821"/>
      <c r="C1" s="821"/>
      <c r="D1" s="821"/>
      <c r="E1" s="821"/>
      <c r="F1" s="821"/>
      <c r="G1" s="821"/>
      <c r="H1" s="821"/>
    </row>
    <row r="2" spans="1:10" ht="30.75" customHeight="1" x14ac:dyDescent="0.2">
      <c r="A2" s="829" t="s">
        <v>431</v>
      </c>
      <c r="B2" s="829"/>
      <c r="C2" s="829"/>
      <c r="D2" s="829"/>
      <c r="E2" s="829"/>
      <c r="F2" s="829"/>
      <c r="G2" s="829"/>
      <c r="H2" s="829"/>
    </row>
    <row r="3" spans="1:10" s="7" customFormat="1" ht="13.5" customHeight="1" x14ac:dyDescent="0.25">
      <c r="A3" s="318"/>
      <c r="B3" s="318"/>
      <c r="C3" s="318"/>
      <c r="D3" s="318"/>
      <c r="E3" s="318"/>
      <c r="F3" s="404"/>
      <c r="G3" s="848" t="s">
        <v>223</v>
      </c>
      <c r="H3" s="848"/>
    </row>
    <row r="4" spans="1:10" ht="32.25" customHeight="1" thickBot="1" x14ac:dyDescent="0.3">
      <c r="A4" s="830" t="s">
        <v>486</v>
      </c>
      <c r="B4" s="830"/>
      <c r="C4" s="830"/>
      <c r="D4" s="53"/>
      <c r="E4" s="27"/>
      <c r="F4" s="27"/>
      <c r="G4" s="227" t="s">
        <v>157</v>
      </c>
      <c r="H4" s="340" t="s">
        <v>351</v>
      </c>
    </row>
    <row r="5" spans="1:10" ht="15" customHeight="1" x14ac:dyDescent="0.25">
      <c r="A5" s="10"/>
      <c r="B5" s="39" t="s">
        <v>245</v>
      </c>
      <c r="C5" s="39"/>
      <c r="D5" s="150" t="s">
        <v>107</v>
      </c>
      <c r="E5" s="39"/>
      <c r="F5" s="822" t="s">
        <v>0</v>
      </c>
      <c r="G5" s="822"/>
      <c r="H5" s="10"/>
    </row>
    <row r="6" spans="1:10" s="211" customFormat="1" ht="15" customHeight="1" x14ac:dyDescent="0.25">
      <c r="A6" s="75"/>
      <c r="B6" s="217" t="s">
        <v>264</v>
      </c>
      <c r="C6" s="217"/>
      <c r="D6" s="507" t="s">
        <v>305</v>
      </c>
      <c r="E6" s="217"/>
      <c r="F6" s="217" t="s">
        <v>1</v>
      </c>
      <c r="G6" s="217"/>
      <c r="H6" s="75"/>
    </row>
    <row r="7" spans="1:10" s="550" customFormat="1" ht="16.5" customHeight="1" x14ac:dyDescent="0.2">
      <c r="A7" s="528"/>
      <c r="B7" s="505" t="s">
        <v>44</v>
      </c>
      <c r="C7" s="505" t="s">
        <v>247</v>
      </c>
      <c r="D7" s="505" t="s">
        <v>108</v>
      </c>
      <c r="E7" s="505" t="s">
        <v>246</v>
      </c>
      <c r="F7" s="217"/>
      <c r="G7" s="505" t="s">
        <v>246</v>
      </c>
      <c r="H7" s="528"/>
    </row>
    <row r="8" spans="1:10" s="557" customFormat="1" ht="12.75" customHeight="1" thickBot="1" x14ac:dyDescent="0.25">
      <c r="A8" s="556" t="s">
        <v>85</v>
      </c>
      <c r="B8" s="555" t="s">
        <v>45</v>
      </c>
      <c r="C8" s="555" t="s">
        <v>29</v>
      </c>
      <c r="D8" s="594" t="s">
        <v>163</v>
      </c>
      <c r="E8" s="555" t="s">
        <v>29</v>
      </c>
      <c r="F8" s="555"/>
      <c r="G8" s="555" t="s">
        <v>29</v>
      </c>
      <c r="H8" s="595" t="s">
        <v>26</v>
      </c>
    </row>
    <row r="9" spans="1:10" s="549" customFormat="1" ht="15.75" customHeight="1" x14ac:dyDescent="0.25">
      <c r="A9" s="495" t="s">
        <v>395</v>
      </c>
      <c r="B9" s="86">
        <v>95</v>
      </c>
      <c r="C9" s="87">
        <f>B9*20</f>
        <v>1900</v>
      </c>
      <c r="D9" s="86">
        <v>427</v>
      </c>
      <c r="E9" s="87">
        <f>D9*825</f>
        <v>352275</v>
      </c>
      <c r="F9" s="87">
        <f>B9+D9</f>
        <v>522</v>
      </c>
      <c r="G9" s="87">
        <f>C9+E9</f>
        <v>354175</v>
      </c>
      <c r="H9" s="150" t="s">
        <v>397</v>
      </c>
    </row>
    <row r="10" spans="1:10" s="7" customFormat="1" ht="15.75" customHeight="1" x14ac:dyDescent="0.25">
      <c r="A10" s="504" t="s">
        <v>30</v>
      </c>
      <c r="B10" s="88">
        <v>199</v>
      </c>
      <c r="C10" s="89">
        <f>B10*20</f>
        <v>3980</v>
      </c>
      <c r="D10" s="88">
        <v>4385</v>
      </c>
      <c r="E10" s="89">
        <f>D10*700</f>
        <v>3069500</v>
      </c>
      <c r="F10" s="89">
        <f t="shared" ref="F10:F23" si="0">B10+D10</f>
        <v>4584</v>
      </c>
      <c r="G10" s="89">
        <f t="shared" ref="G10:G23" si="1">C10+E10</f>
        <v>3073480</v>
      </c>
      <c r="H10" s="506" t="s">
        <v>31</v>
      </c>
    </row>
    <row r="11" spans="1:10" s="447" customFormat="1" ht="15" customHeight="1" x14ac:dyDescent="0.25">
      <c r="A11" s="36" t="s">
        <v>3</v>
      </c>
      <c r="B11" s="86">
        <v>123</v>
      </c>
      <c r="C11" s="87">
        <f>B11*11</f>
        <v>1353</v>
      </c>
      <c r="D11" s="86">
        <v>6819</v>
      </c>
      <c r="E11" s="87">
        <f>D11*710</f>
        <v>4841490</v>
      </c>
      <c r="F11" s="87">
        <f t="shared" si="0"/>
        <v>6942</v>
      </c>
      <c r="G11" s="87">
        <f t="shared" si="1"/>
        <v>4842843</v>
      </c>
      <c r="H11" s="17" t="s">
        <v>15</v>
      </c>
    </row>
    <row r="12" spans="1:10" ht="14.25" customHeight="1" x14ac:dyDescent="0.25">
      <c r="A12" s="504" t="s">
        <v>381</v>
      </c>
      <c r="B12" s="88">
        <v>114</v>
      </c>
      <c r="C12" s="89">
        <f>B12*20</f>
        <v>2280</v>
      </c>
      <c r="D12" s="88">
        <v>1561</v>
      </c>
      <c r="E12" s="89">
        <f>D12*700</f>
        <v>1092700</v>
      </c>
      <c r="F12" s="89">
        <f t="shared" si="0"/>
        <v>1675</v>
      </c>
      <c r="G12" s="89">
        <f t="shared" si="1"/>
        <v>1094980</v>
      </c>
      <c r="H12" s="49" t="s">
        <v>371</v>
      </c>
      <c r="J12" s="7"/>
    </row>
    <row r="13" spans="1:10" s="447" customFormat="1" ht="15" customHeight="1" x14ac:dyDescent="0.25">
      <c r="A13" s="36" t="s">
        <v>4</v>
      </c>
      <c r="B13" s="86">
        <v>4088</v>
      </c>
      <c r="C13" s="87">
        <f>B13*20</f>
        <v>81760</v>
      </c>
      <c r="D13" s="86">
        <v>36176</v>
      </c>
      <c r="E13" s="87">
        <f>D13*688</f>
        <v>24889088</v>
      </c>
      <c r="F13" s="87">
        <f t="shared" si="0"/>
        <v>40264</v>
      </c>
      <c r="G13" s="87">
        <f t="shared" si="1"/>
        <v>24970848</v>
      </c>
      <c r="H13" s="17" t="s">
        <v>16</v>
      </c>
    </row>
    <row r="14" spans="1:10" ht="12.95" customHeight="1" x14ac:dyDescent="0.25">
      <c r="A14" s="58" t="s">
        <v>5</v>
      </c>
      <c r="B14" s="90">
        <v>1839</v>
      </c>
      <c r="C14" s="214">
        <f>B14*13</f>
        <v>23907</v>
      </c>
      <c r="D14" s="90">
        <v>5295</v>
      </c>
      <c r="E14" s="214">
        <f>D14*690</f>
        <v>3653550</v>
      </c>
      <c r="F14" s="89">
        <f t="shared" si="0"/>
        <v>7134</v>
      </c>
      <c r="G14" s="89">
        <f t="shared" si="1"/>
        <v>3677457</v>
      </c>
      <c r="H14" s="59" t="s">
        <v>23</v>
      </c>
      <c r="J14" s="7"/>
    </row>
    <row r="15" spans="1:10" s="447" customFormat="1" ht="12.95" customHeight="1" x14ac:dyDescent="0.25">
      <c r="A15" s="36" t="s">
        <v>6</v>
      </c>
      <c r="B15" s="86">
        <v>1312</v>
      </c>
      <c r="C15" s="87">
        <f>B15*12</f>
        <v>15744</v>
      </c>
      <c r="D15" s="86">
        <v>5025</v>
      </c>
      <c r="E15" s="87">
        <f>D15*660</f>
        <v>3316500</v>
      </c>
      <c r="F15" s="87">
        <f t="shared" si="0"/>
        <v>6337</v>
      </c>
      <c r="G15" s="87">
        <f t="shared" si="1"/>
        <v>3332244</v>
      </c>
      <c r="H15" s="17" t="s">
        <v>24</v>
      </c>
    </row>
    <row r="16" spans="1:10" ht="12.95" customHeight="1" x14ac:dyDescent="0.25">
      <c r="A16" s="58" t="s">
        <v>11</v>
      </c>
      <c r="B16" s="90">
        <v>1101</v>
      </c>
      <c r="C16" s="214">
        <f>B16*15</f>
        <v>16515</v>
      </c>
      <c r="D16" s="90">
        <v>4019</v>
      </c>
      <c r="E16" s="214">
        <f>D17*570</f>
        <v>1184460</v>
      </c>
      <c r="F16" s="89">
        <f t="shared" si="0"/>
        <v>5120</v>
      </c>
      <c r="G16" s="89">
        <f t="shared" si="1"/>
        <v>1200975</v>
      </c>
      <c r="H16" s="59" t="s">
        <v>21</v>
      </c>
      <c r="J16" s="7"/>
    </row>
    <row r="17" spans="1:11" s="447" customFormat="1" ht="14.25" customHeight="1" x14ac:dyDescent="0.25">
      <c r="A17" s="36" t="s">
        <v>2</v>
      </c>
      <c r="B17" s="86">
        <v>278</v>
      </c>
      <c r="C17" s="87">
        <f>B17*15</f>
        <v>4170</v>
      </c>
      <c r="D17" s="86">
        <v>2078</v>
      </c>
      <c r="E17" s="87">
        <f>D17*870</f>
        <v>1807860</v>
      </c>
      <c r="F17" s="87">
        <f t="shared" si="0"/>
        <v>2356</v>
      </c>
      <c r="G17" s="87">
        <f t="shared" si="1"/>
        <v>1812030</v>
      </c>
      <c r="H17" s="17" t="s">
        <v>14</v>
      </c>
    </row>
    <row r="18" spans="1:11" ht="15.75" customHeight="1" x14ac:dyDescent="0.25">
      <c r="A18" s="58" t="s">
        <v>7</v>
      </c>
      <c r="B18" s="90">
        <v>394</v>
      </c>
      <c r="C18" s="214">
        <f t="shared" ref="C18:C23" si="2">B18*10</f>
        <v>3940</v>
      </c>
      <c r="D18" s="90">
        <v>5821</v>
      </c>
      <c r="E18" s="214">
        <f>D18*740</f>
        <v>4307540</v>
      </c>
      <c r="F18" s="89">
        <f t="shared" si="0"/>
        <v>6215</v>
      </c>
      <c r="G18" s="89">
        <f t="shared" si="1"/>
        <v>4311480</v>
      </c>
      <c r="H18" s="59" t="s">
        <v>17</v>
      </c>
      <c r="J18" s="7"/>
    </row>
    <row r="19" spans="1:11" s="447" customFormat="1" ht="12.95" customHeight="1" x14ac:dyDescent="0.25">
      <c r="A19" s="36" t="s">
        <v>8</v>
      </c>
      <c r="B19" s="86">
        <v>1415</v>
      </c>
      <c r="C19" s="87">
        <f t="shared" si="2"/>
        <v>14150</v>
      </c>
      <c r="D19" s="86">
        <v>2131</v>
      </c>
      <c r="E19" s="87">
        <f>D19*740</f>
        <v>1576940</v>
      </c>
      <c r="F19" s="87">
        <f t="shared" si="0"/>
        <v>3546</v>
      </c>
      <c r="G19" s="87">
        <f t="shared" si="1"/>
        <v>1591090</v>
      </c>
      <c r="H19" s="17" t="s">
        <v>18</v>
      </c>
    </row>
    <row r="20" spans="1:11" ht="15" customHeight="1" x14ac:dyDescent="0.25">
      <c r="A20" s="58" t="s">
        <v>9</v>
      </c>
      <c r="B20" s="90">
        <v>535</v>
      </c>
      <c r="C20" s="214">
        <f t="shared" si="2"/>
        <v>5350</v>
      </c>
      <c r="D20" s="90">
        <v>2317</v>
      </c>
      <c r="E20" s="214">
        <f>D20*566</f>
        <v>1311422</v>
      </c>
      <c r="F20" s="89">
        <f t="shared" si="0"/>
        <v>2852</v>
      </c>
      <c r="G20" s="89">
        <f t="shared" si="1"/>
        <v>1316772</v>
      </c>
      <c r="H20" s="59" t="s">
        <v>19</v>
      </c>
      <c r="J20" s="7"/>
    </row>
    <row r="21" spans="1:11" s="447" customFormat="1" ht="15.75" customHeight="1" x14ac:dyDescent="0.25">
      <c r="A21" s="36" t="s">
        <v>10</v>
      </c>
      <c r="B21" s="86">
        <v>1775</v>
      </c>
      <c r="C21" s="87">
        <f t="shared" si="2"/>
        <v>17750</v>
      </c>
      <c r="D21" s="86">
        <v>5435</v>
      </c>
      <c r="E21" s="87">
        <f>D21*550</f>
        <v>2989250</v>
      </c>
      <c r="F21" s="87">
        <f t="shared" si="0"/>
        <v>7210</v>
      </c>
      <c r="G21" s="87">
        <f t="shared" si="1"/>
        <v>3007000</v>
      </c>
      <c r="H21" s="17" t="s">
        <v>20</v>
      </c>
    </row>
    <row r="22" spans="1:11" ht="15" customHeight="1" x14ac:dyDescent="0.25">
      <c r="A22" s="58" t="s">
        <v>12</v>
      </c>
      <c r="B22" s="90">
        <v>647</v>
      </c>
      <c r="C22" s="214">
        <f t="shared" si="2"/>
        <v>6470</v>
      </c>
      <c r="D22" s="90">
        <v>1712</v>
      </c>
      <c r="E22" s="214">
        <f>D22*770</f>
        <v>1318240</v>
      </c>
      <c r="F22" s="89">
        <f t="shared" si="0"/>
        <v>2359</v>
      </c>
      <c r="G22" s="89">
        <f t="shared" si="1"/>
        <v>1324710</v>
      </c>
      <c r="H22" s="59" t="s">
        <v>25</v>
      </c>
      <c r="J22" s="7"/>
    </row>
    <row r="23" spans="1:11" s="447" customFormat="1" ht="18" customHeight="1" thickBot="1" x14ac:dyDescent="0.3">
      <c r="A23" s="36" t="s">
        <v>13</v>
      </c>
      <c r="B23" s="86">
        <v>685</v>
      </c>
      <c r="C23" s="87">
        <f t="shared" si="2"/>
        <v>6850</v>
      </c>
      <c r="D23" s="86">
        <v>7236</v>
      </c>
      <c r="E23" s="87">
        <f>D23*650</f>
        <v>4703400</v>
      </c>
      <c r="F23" s="87">
        <f t="shared" si="0"/>
        <v>7921</v>
      </c>
      <c r="G23" s="87">
        <f t="shared" si="1"/>
        <v>4710250</v>
      </c>
      <c r="H23" s="17" t="s">
        <v>22</v>
      </c>
    </row>
    <row r="24" spans="1:11" s="562" customFormat="1" ht="17.25" customHeight="1" thickBot="1" x14ac:dyDescent="0.25">
      <c r="A24" s="601" t="s">
        <v>0</v>
      </c>
      <c r="B24" s="559">
        <f t="shared" ref="B24:G24" si="3">SUM(B9:B23)</f>
        <v>14600</v>
      </c>
      <c r="C24" s="559">
        <f t="shared" si="3"/>
        <v>206119</v>
      </c>
      <c r="D24" s="559">
        <f t="shared" si="3"/>
        <v>90437</v>
      </c>
      <c r="E24" s="559">
        <f t="shared" si="3"/>
        <v>60414215</v>
      </c>
      <c r="F24" s="559">
        <f t="shared" si="3"/>
        <v>105037</v>
      </c>
      <c r="G24" s="559">
        <f t="shared" si="3"/>
        <v>60620334</v>
      </c>
      <c r="H24" s="602" t="s">
        <v>1</v>
      </c>
    </row>
    <row r="25" spans="1:11" s="7" customFormat="1" ht="17.25" customHeight="1" x14ac:dyDescent="0.2">
      <c r="A25" s="862"/>
      <c r="B25" s="862"/>
      <c r="C25" s="862"/>
      <c r="D25" s="862"/>
      <c r="E25" s="862"/>
      <c r="F25" s="862"/>
      <c r="G25" s="862"/>
      <c r="H25" s="862"/>
      <c r="I25" s="862"/>
    </row>
    <row r="26" spans="1:11" ht="14.25" x14ac:dyDescent="0.2">
      <c r="C26" s="7"/>
      <c r="D26" s="7"/>
      <c r="E26" s="7"/>
      <c r="G26" s="7"/>
      <c r="H26" s="258"/>
      <c r="I26" s="6"/>
      <c r="J26" s="6"/>
      <c r="K26" s="7"/>
    </row>
    <row r="27" spans="1:11" ht="15" x14ac:dyDescent="0.25">
      <c r="A27" s="880"/>
      <c r="B27" s="880"/>
      <c r="C27" s="7"/>
      <c r="D27" s="7"/>
      <c r="E27" s="7"/>
      <c r="G27" s="881"/>
      <c r="H27" s="881"/>
      <c r="I27" s="6"/>
      <c r="J27" s="7"/>
    </row>
  </sheetData>
  <mergeCells count="8">
    <mergeCell ref="G3:H3"/>
    <mergeCell ref="A27:B27"/>
    <mergeCell ref="G27:H27"/>
    <mergeCell ref="A1:H1"/>
    <mergeCell ref="A2:H2"/>
    <mergeCell ref="A4:C4"/>
    <mergeCell ref="A25:I25"/>
    <mergeCell ref="F5:G5"/>
  </mergeCells>
  <phoneticPr fontId="3" type="noConversion"/>
  <printOptions horizontalCentered="1" verticalCentered="1"/>
  <pageMargins left="0.74" right="1.49" top="6.25E-2" bottom="0.98425196850393704" header="0.78740157480314998" footer="0.511811023622047"/>
  <pageSetup orientation="landscape" verticalDpi="300" r:id="rId1"/>
  <headerFooter alignWithMargins="0">
    <oddFooter>&amp;C38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8"/>
  <sheetViews>
    <sheetView rightToLeft="1" view="pageLayout" topLeftCell="A7" zoomScaleSheetLayoutView="87" workbookViewId="0">
      <selection activeCell="L17" sqref="L17"/>
    </sheetView>
  </sheetViews>
  <sheetFormatPr defaultRowHeight="12.75" x14ac:dyDescent="0.2"/>
  <cols>
    <col min="1" max="1" width="9.140625" customWidth="1"/>
    <col min="2" max="2" width="8.28515625" customWidth="1"/>
    <col min="3" max="3" width="14.42578125" customWidth="1"/>
    <col min="4" max="4" width="8.28515625" customWidth="1"/>
    <col min="5" max="5" width="11.5703125" customWidth="1"/>
    <col min="6" max="6" width="8.5703125" customWidth="1"/>
    <col min="7" max="7" width="11.85546875" customWidth="1"/>
    <col min="8" max="8" width="8.85546875" customWidth="1"/>
    <col min="9" max="9" width="11.5703125" customWidth="1"/>
    <col min="10" max="10" width="8.7109375" style="7" customWidth="1"/>
    <col min="11" max="11" width="11.7109375" customWidth="1"/>
    <col min="12" max="12" width="14.42578125" customWidth="1"/>
  </cols>
  <sheetData>
    <row r="1" spans="1:14" ht="15" x14ac:dyDescent="0.2">
      <c r="A1" s="882" t="s">
        <v>433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</row>
    <row r="2" spans="1:14" ht="15.75" customHeight="1" x14ac:dyDescent="0.2">
      <c r="A2" s="885" t="s">
        <v>432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</row>
    <row r="3" spans="1:14" s="7" customFormat="1" ht="15.75" customHeight="1" x14ac:dyDescent="0.25">
      <c r="A3" s="323"/>
      <c r="B3" s="323"/>
      <c r="C3" s="323"/>
      <c r="D3" s="323"/>
      <c r="E3" s="323"/>
      <c r="F3" s="323"/>
      <c r="G3" s="323"/>
      <c r="H3" s="323"/>
      <c r="I3" s="323"/>
      <c r="J3" s="405"/>
      <c r="K3" s="848" t="s">
        <v>223</v>
      </c>
      <c r="L3" s="848"/>
    </row>
    <row r="4" spans="1:14" ht="15.75" customHeight="1" thickBot="1" x14ac:dyDescent="0.3">
      <c r="A4" s="884" t="s">
        <v>487</v>
      </c>
      <c r="B4" s="884"/>
      <c r="C4" s="152" t="s">
        <v>189</v>
      </c>
      <c r="D4" s="153"/>
      <c r="E4" s="21"/>
      <c r="F4" s="154"/>
      <c r="G4" s="154"/>
      <c r="H4" s="153"/>
      <c r="I4" s="152"/>
      <c r="J4" s="152"/>
      <c r="K4" s="883" t="s">
        <v>352</v>
      </c>
      <c r="L4" s="883" t="s">
        <v>55</v>
      </c>
      <c r="M4" s="3"/>
    </row>
    <row r="5" spans="1:14" ht="19.5" customHeight="1" x14ac:dyDescent="0.25">
      <c r="A5" s="10"/>
      <c r="B5" s="887" t="s">
        <v>162</v>
      </c>
      <c r="C5" s="887"/>
      <c r="D5" s="887" t="s">
        <v>161</v>
      </c>
      <c r="E5" s="887"/>
      <c r="F5" s="887" t="s">
        <v>40</v>
      </c>
      <c r="G5" s="887"/>
      <c r="H5" s="887" t="s">
        <v>41</v>
      </c>
      <c r="I5" s="887"/>
      <c r="J5" s="406"/>
      <c r="K5" s="158" t="s">
        <v>0</v>
      </c>
      <c r="L5" s="158"/>
    </row>
    <row r="6" spans="1:14" ht="15" customHeight="1" x14ac:dyDescent="0.25">
      <c r="A6" s="21"/>
      <c r="B6" s="824" t="s">
        <v>172</v>
      </c>
      <c r="C6" s="824"/>
      <c r="D6" s="886" t="s">
        <v>321</v>
      </c>
      <c r="E6" s="886"/>
      <c r="F6" s="886" t="s">
        <v>173</v>
      </c>
      <c r="G6" s="886"/>
      <c r="H6" s="824" t="s">
        <v>170</v>
      </c>
      <c r="I6" s="824"/>
      <c r="J6" s="403"/>
      <c r="K6" s="342" t="s">
        <v>1</v>
      </c>
      <c r="L6" s="155"/>
    </row>
    <row r="7" spans="1:14" s="211" customFormat="1" ht="26.25" customHeight="1" x14ac:dyDescent="0.2">
      <c r="A7" s="604"/>
      <c r="B7" s="603" t="s">
        <v>243</v>
      </c>
      <c r="C7" s="603" t="s">
        <v>246</v>
      </c>
      <c r="D7" s="603" t="s">
        <v>243</v>
      </c>
      <c r="E7" s="603" t="s">
        <v>246</v>
      </c>
      <c r="F7" s="603" t="s">
        <v>243</v>
      </c>
      <c r="G7" s="603" t="s">
        <v>246</v>
      </c>
      <c r="H7" s="603" t="s">
        <v>243</v>
      </c>
      <c r="I7" s="603" t="s">
        <v>246</v>
      </c>
      <c r="J7" s="603" t="s">
        <v>382</v>
      </c>
      <c r="K7" s="603" t="s">
        <v>246</v>
      </c>
      <c r="L7" s="604"/>
    </row>
    <row r="8" spans="1:14" s="557" customFormat="1" ht="15" customHeight="1" thickBot="1" x14ac:dyDescent="0.25">
      <c r="A8" s="605" t="s">
        <v>56</v>
      </c>
      <c r="B8" s="606" t="s">
        <v>138</v>
      </c>
      <c r="C8" s="605" t="s">
        <v>29</v>
      </c>
      <c r="D8" s="606" t="s">
        <v>138</v>
      </c>
      <c r="E8" s="607" t="s">
        <v>29</v>
      </c>
      <c r="F8" s="606" t="s">
        <v>138</v>
      </c>
      <c r="G8" s="605" t="s">
        <v>29</v>
      </c>
      <c r="H8" s="606" t="s">
        <v>138</v>
      </c>
      <c r="I8" s="605" t="s">
        <v>29</v>
      </c>
      <c r="J8" s="605"/>
      <c r="K8" s="605" t="s">
        <v>29</v>
      </c>
      <c r="L8" s="605" t="s">
        <v>26</v>
      </c>
    </row>
    <row r="9" spans="1:14" s="447" customFormat="1" ht="15" customHeight="1" x14ac:dyDescent="0.25">
      <c r="A9" s="608" t="s">
        <v>395</v>
      </c>
      <c r="B9" s="161">
        <v>933</v>
      </c>
      <c r="C9" s="161">
        <f>B9*98</f>
        <v>91434</v>
      </c>
      <c r="D9" s="161">
        <v>743</v>
      </c>
      <c r="E9" s="161">
        <f>D9*100</f>
        <v>74300</v>
      </c>
      <c r="F9" s="161">
        <v>772</v>
      </c>
      <c r="G9" s="161">
        <f>F9*97</f>
        <v>74884</v>
      </c>
      <c r="H9" s="161">
        <v>37</v>
      </c>
      <c r="I9" s="87">
        <f>H9*107</f>
        <v>3959</v>
      </c>
      <c r="J9" s="87">
        <f>B9+D9+F9+H9</f>
        <v>2485</v>
      </c>
      <c r="K9" s="87">
        <f>C9+E9+G9+I9</f>
        <v>244577</v>
      </c>
      <c r="L9" s="609" t="s">
        <v>397</v>
      </c>
    </row>
    <row r="10" spans="1:14" s="7" customFormat="1" ht="15" customHeight="1" x14ac:dyDescent="0.25">
      <c r="A10" s="156" t="s">
        <v>30</v>
      </c>
      <c r="B10" s="162">
        <v>10003</v>
      </c>
      <c r="C10" s="162">
        <f>B10*75</f>
        <v>750225</v>
      </c>
      <c r="D10" s="162">
        <v>7019</v>
      </c>
      <c r="E10" s="162">
        <f>D10*80</f>
        <v>561520</v>
      </c>
      <c r="F10" s="162">
        <v>9319</v>
      </c>
      <c r="G10" s="162">
        <f>F10*70</f>
        <v>652330</v>
      </c>
      <c r="H10" s="162">
        <v>4314</v>
      </c>
      <c r="I10" s="89">
        <f>H10*80</f>
        <v>345120</v>
      </c>
      <c r="J10" s="89">
        <f t="shared" ref="J10:J23" si="0">B10+D10+F10+H10</f>
        <v>30655</v>
      </c>
      <c r="K10" s="89">
        <f t="shared" ref="K10:K23" si="1">C10+E10+G10+I10</f>
        <v>2309195</v>
      </c>
      <c r="L10" s="157" t="s">
        <v>31</v>
      </c>
    </row>
    <row r="11" spans="1:14" s="447" customFormat="1" ht="15" customHeight="1" x14ac:dyDescent="0.25">
      <c r="A11" s="159" t="s">
        <v>3</v>
      </c>
      <c r="B11" s="161">
        <v>16845</v>
      </c>
      <c r="C11" s="161">
        <f>B11*60</f>
        <v>1010700</v>
      </c>
      <c r="D11" s="161">
        <v>11169</v>
      </c>
      <c r="E11" s="161">
        <f>D11*70</f>
        <v>781830</v>
      </c>
      <c r="F11" s="161">
        <v>17474</v>
      </c>
      <c r="G11" s="161">
        <f>F11*60</f>
        <v>1048440</v>
      </c>
      <c r="H11" s="161">
        <v>0</v>
      </c>
      <c r="I11" s="161">
        <f>H11*80</f>
        <v>0</v>
      </c>
      <c r="J11" s="87">
        <f t="shared" si="0"/>
        <v>45488</v>
      </c>
      <c r="K11" s="87">
        <f t="shared" si="1"/>
        <v>2840970</v>
      </c>
      <c r="L11" s="160" t="s">
        <v>15</v>
      </c>
    </row>
    <row r="12" spans="1:14" ht="15" customHeight="1" x14ac:dyDescent="0.25">
      <c r="A12" s="156" t="s">
        <v>381</v>
      </c>
      <c r="B12" s="162">
        <v>2438</v>
      </c>
      <c r="C12" s="162">
        <f>B12*80</f>
        <v>195040</v>
      </c>
      <c r="D12" s="89">
        <v>2944</v>
      </c>
      <c r="E12" s="162">
        <f>D12*90</f>
        <v>264960</v>
      </c>
      <c r="F12" s="162">
        <v>2382</v>
      </c>
      <c r="G12" s="162">
        <f>F12*70</f>
        <v>166740</v>
      </c>
      <c r="H12" s="162">
        <v>615</v>
      </c>
      <c r="I12" s="162">
        <f>H12*85</f>
        <v>52275</v>
      </c>
      <c r="J12" s="89">
        <f t="shared" si="0"/>
        <v>8379</v>
      </c>
      <c r="K12" s="89">
        <f t="shared" si="1"/>
        <v>679015</v>
      </c>
      <c r="L12" s="157" t="s">
        <v>371</v>
      </c>
      <c r="N12" s="7"/>
    </row>
    <row r="13" spans="1:14" s="447" customFormat="1" ht="15" customHeight="1" x14ac:dyDescent="0.25">
      <c r="A13" s="159" t="s">
        <v>4</v>
      </c>
      <c r="B13" s="161">
        <v>58099</v>
      </c>
      <c r="C13" s="161">
        <f>B13*70</f>
        <v>4066930</v>
      </c>
      <c r="D13" s="161">
        <v>74492</v>
      </c>
      <c r="E13" s="161">
        <f>D13*80</f>
        <v>5959360</v>
      </c>
      <c r="F13" s="161">
        <v>56860</v>
      </c>
      <c r="G13" s="161">
        <f>F13*70</f>
        <v>3980200</v>
      </c>
      <c r="H13" s="161">
        <v>49520</v>
      </c>
      <c r="I13" s="161">
        <f>H13*80</f>
        <v>3961600</v>
      </c>
      <c r="J13" s="87">
        <f t="shared" si="0"/>
        <v>238971</v>
      </c>
      <c r="K13" s="87">
        <f t="shared" si="1"/>
        <v>17968090</v>
      </c>
      <c r="L13" s="160" t="s">
        <v>16</v>
      </c>
    </row>
    <row r="14" spans="1:14" ht="15" customHeight="1" x14ac:dyDescent="0.25">
      <c r="A14" s="284" t="s">
        <v>5</v>
      </c>
      <c r="B14" s="285">
        <v>9496</v>
      </c>
      <c r="C14" s="285">
        <f>B14*70</f>
        <v>664720</v>
      </c>
      <c r="D14" s="285">
        <v>9295</v>
      </c>
      <c r="E14" s="285">
        <f>D14*80</f>
        <v>743600</v>
      </c>
      <c r="F14" s="285">
        <v>7825</v>
      </c>
      <c r="G14" s="285">
        <f>F14*70</f>
        <v>547750</v>
      </c>
      <c r="H14" s="285">
        <v>2822</v>
      </c>
      <c r="I14" s="285">
        <f>H14*75</f>
        <v>211650</v>
      </c>
      <c r="J14" s="89">
        <f t="shared" si="0"/>
        <v>29438</v>
      </c>
      <c r="K14" s="89">
        <f t="shared" si="1"/>
        <v>2167720</v>
      </c>
      <c r="L14" s="286" t="s">
        <v>23</v>
      </c>
      <c r="N14" s="7"/>
    </row>
    <row r="15" spans="1:14" s="447" customFormat="1" ht="15" customHeight="1" x14ac:dyDescent="0.25">
      <c r="A15" s="159" t="s">
        <v>6</v>
      </c>
      <c r="B15" s="161">
        <v>10418</v>
      </c>
      <c r="C15" s="161">
        <f>B15*70</f>
        <v>729260</v>
      </c>
      <c r="D15" s="161">
        <v>11685</v>
      </c>
      <c r="E15" s="161">
        <f>D15*90</f>
        <v>1051650</v>
      </c>
      <c r="F15" s="161">
        <v>6298</v>
      </c>
      <c r="G15" s="161">
        <f>F15*80</f>
        <v>503840</v>
      </c>
      <c r="H15" s="161">
        <v>832</v>
      </c>
      <c r="I15" s="161">
        <f>H15*95</f>
        <v>79040</v>
      </c>
      <c r="J15" s="87">
        <f t="shared" si="0"/>
        <v>29233</v>
      </c>
      <c r="K15" s="87">
        <f t="shared" si="1"/>
        <v>2363790</v>
      </c>
      <c r="L15" s="160" t="s">
        <v>24</v>
      </c>
    </row>
    <row r="16" spans="1:14" ht="15" customHeight="1" x14ac:dyDescent="0.25">
      <c r="A16" s="284" t="s">
        <v>11</v>
      </c>
      <c r="B16" s="285">
        <v>11374</v>
      </c>
      <c r="C16" s="285">
        <f>B16*100</f>
        <v>1137400</v>
      </c>
      <c r="D16" s="285">
        <v>6059</v>
      </c>
      <c r="E16" s="285">
        <f>D16*100</f>
        <v>605900</v>
      </c>
      <c r="F16" s="285">
        <v>8010</v>
      </c>
      <c r="G16" s="285">
        <f>F16*70</f>
        <v>560700</v>
      </c>
      <c r="H16" s="285">
        <v>0</v>
      </c>
      <c r="I16" s="285">
        <f>H16*80</f>
        <v>0</v>
      </c>
      <c r="J16" s="89">
        <f t="shared" si="0"/>
        <v>25443</v>
      </c>
      <c r="K16" s="89">
        <f t="shared" si="1"/>
        <v>2304000</v>
      </c>
      <c r="L16" s="286" t="s">
        <v>21</v>
      </c>
      <c r="N16" s="7"/>
    </row>
    <row r="17" spans="1:14" s="447" customFormat="1" ht="16.5" customHeight="1" x14ac:dyDescent="0.25">
      <c r="A17" s="159" t="s">
        <v>2</v>
      </c>
      <c r="B17" s="161">
        <v>3984</v>
      </c>
      <c r="C17" s="161">
        <f>B17*75</f>
        <v>298800</v>
      </c>
      <c r="D17" s="161">
        <v>8517</v>
      </c>
      <c r="E17" s="161">
        <f>D17*90</f>
        <v>766530</v>
      </c>
      <c r="F17" s="161">
        <v>5939</v>
      </c>
      <c r="G17" s="161">
        <f>F17*70</f>
        <v>415730</v>
      </c>
      <c r="H17" s="161">
        <v>1360</v>
      </c>
      <c r="I17" s="161">
        <f>H17*90</f>
        <v>122400</v>
      </c>
      <c r="J17" s="87">
        <f t="shared" si="0"/>
        <v>19800</v>
      </c>
      <c r="K17" s="87">
        <f t="shared" si="1"/>
        <v>1603460</v>
      </c>
      <c r="L17" s="734" t="s">
        <v>14</v>
      </c>
    </row>
    <row r="18" spans="1:14" ht="15" customHeight="1" x14ac:dyDescent="0.25">
      <c r="A18" s="284" t="s">
        <v>7</v>
      </c>
      <c r="B18" s="285">
        <v>13415</v>
      </c>
      <c r="C18" s="285">
        <f>B18*100</f>
        <v>1341500</v>
      </c>
      <c r="D18" s="285">
        <v>18433</v>
      </c>
      <c r="E18" s="285">
        <f>D18*100</f>
        <v>1843300</v>
      </c>
      <c r="F18" s="285">
        <v>10097</v>
      </c>
      <c r="G18" s="285">
        <f>F18*65</f>
        <v>656305</v>
      </c>
      <c r="H18" s="285">
        <v>0</v>
      </c>
      <c r="I18" s="285">
        <f>H18*70</f>
        <v>0</v>
      </c>
      <c r="J18" s="89">
        <f t="shared" si="0"/>
        <v>41945</v>
      </c>
      <c r="K18" s="89">
        <f t="shared" si="1"/>
        <v>3841105</v>
      </c>
      <c r="L18" s="286" t="s">
        <v>17</v>
      </c>
      <c r="N18" s="7"/>
    </row>
    <row r="19" spans="1:14" s="447" customFormat="1" ht="15" customHeight="1" x14ac:dyDescent="0.25">
      <c r="A19" s="159" t="s">
        <v>8</v>
      </c>
      <c r="B19" s="161">
        <v>4165</v>
      </c>
      <c r="C19" s="161">
        <f>B19*110</f>
        <v>458150</v>
      </c>
      <c r="D19" s="161">
        <v>5041</v>
      </c>
      <c r="E19" s="161">
        <f>D19*70</f>
        <v>352870</v>
      </c>
      <c r="F19" s="161">
        <v>3402</v>
      </c>
      <c r="G19" s="161">
        <f>F19*60</f>
        <v>204120</v>
      </c>
      <c r="H19" s="161">
        <v>0</v>
      </c>
      <c r="I19" s="161">
        <f>H19*80</f>
        <v>0</v>
      </c>
      <c r="J19" s="87">
        <f t="shared" si="0"/>
        <v>12608</v>
      </c>
      <c r="K19" s="87">
        <f t="shared" si="1"/>
        <v>1015140</v>
      </c>
      <c r="L19" s="160" t="s">
        <v>18</v>
      </c>
    </row>
    <row r="20" spans="1:14" ht="15" customHeight="1" x14ac:dyDescent="0.25">
      <c r="A20" s="284" t="s">
        <v>9</v>
      </c>
      <c r="B20" s="285">
        <v>4395</v>
      </c>
      <c r="C20" s="285">
        <f>B20*70</f>
        <v>307650</v>
      </c>
      <c r="D20" s="285">
        <v>2438</v>
      </c>
      <c r="E20" s="285">
        <f>D20*80</f>
        <v>195040</v>
      </c>
      <c r="F20" s="285">
        <v>3617</v>
      </c>
      <c r="G20" s="285">
        <f>F20*70</f>
        <v>253190</v>
      </c>
      <c r="H20" s="285">
        <v>0</v>
      </c>
      <c r="I20" s="285">
        <f>H20*75</f>
        <v>0</v>
      </c>
      <c r="J20" s="89">
        <f t="shared" si="0"/>
        <v>10450</v>
      </c>
      <c r="K20" s="89">
        <f t="shared" si="1"/>
        <v>755880</v>
      </c>
      <c r="L20" s="286" t="s">
        <v>19</v>
      </c>
      <c r="N20" s="7"/>
    </row>
    <row r="21" spans="1:14" s="447" customFormat="1" ht="15" customHeight="1" x14ac:dyDescent="0.25">
      <c r="A21" s="159" t="s">
        <v>10</v>
      </c>
      <c r="B21" s="161">
        <v>11977</v>
      </c>
      <c r="C21" s="161">
        <f>B21*70</f>
        <v>838390</v>
      </c>
      <c r="D21" s="161">
        <v>4871</v>
      </c>
      <c r="E21" s="161">
        <f>D21*80</f>
        <v>389680</v>
      </c>
      <c r="F21" s="161">
        <v>5840</v>
      </c>
      <c r="G21" s="161">
        <f>F21*75</f>
        <v>438000</v>
      </c>
      <c r="H21" s="161">
        <v>5355</v>
      </c>
      <c r="I21" s="161">
        <f>H21*90</f>
        <v>481950</v>
      </c>
      <c r="J21" s="87">
        <f t="shared" si="0"/>
        <v>28043</v>
      </c>
      <c r="K21" s="87">
        <f t="shared" si="1"/>
        <v>2148020</v>
      </c>
      <c r="L21" s="160" t="s">
        <v>20</v>
      </c>
      <c r="M21" s="610"/>
    </row>
    <row r="22" spans="1:14" ht="15" customHeight="1" x14ac:dyDescent="0.25">
      <c r="A22" s="284" t="s">
        <v>12</v>
      </c>
      <c r="B22" s="285">
        <v>3893</v>
      </c>
      <c r="C22" s="285">
        <f>B22*80</f>
        <v>311440</v>
      </c>
      <c r="D22" s="285">
        <v>2628</v>
      </c>
      <c r="E22" s="285">
        <f>D22*80</f>
        <v>210240</v>
      </c>
      <c r="F22" s="285">
        <v>3191</v>
      </c>
      <c r="G22" s="285">
        <f>F22*70</f>
        <v>223370</v>
      </c>
      <c r="H22" s="285">
        <v>1359</v>
      </c>
      <c r="I22" s="285">
        <f>H22*90</f>
        <v>122310</v>
      </c>
      <c r="J22" s="89">
        <f t="shared" si="0"/>
        <v>11071</v>
      </c>
      <c r="K22" s="89">
        <f t="shared" si="1"/>
        <v>867360</v>
      </c>
      <c r="L22" s="286" t="s">
        <v>25</v>
      </c>
      <c r="M22" s="8"/>
      <c r="N22" s="7"/>
    </row>
    <row r="23" spans="1:14" s="447" customFormat="1" ht="15" customHeight="1" thickBot="1" x14ac:dyDescent="0.3">
      <c r="A23" s="159" t="s">
        <v>13</v>
      </c>
      <c r="B23" s="161">
        <v>12912</v>
      </c>
      <c r="C23" s="161">
        <f>B23*80</f>
        <v>1032960</v>
      </c>
      <c r="D23" s="161">
        <v>6626</v>
      </c>
      <c r="E23" s="161">
        <f>D23*90</f>
        <v>596340</v>
      </c>
      <c r="F23" s="161">
        <v>6552</v>
      </c>
      <c r="G23" s="161">
        <f>F23*75</f>
        <v>491400</v>
      </c>
      <c r="H23" s="161">
        <v>873</v>
      </c>
      <c r="I23" s="161">
        <f>H23*80</f>
        <v>69840</v>
      </c>
      <c r="J23" s="87">
        <f t="shared" si="0"/>
        <v>26963</v>
      </c>
      <c r="K23" s="87">
        <f t="shared" si="1"/>
        <v>2190540</v>
      </c>
      <c r="L23" s="160" t="s">
        <v>22</v>
      </c>
      <c r="M23" s="610"/>
    </row>
    <row r="24" spans="1:14" s="562" customFormat="1" ht="24" customHeight="1" thickBot="1" x14ac:dyDescent="0.25">
      <c r="A24" s="611" t="s">
        <v>0</v>
      </c>
      <c r="B24" s="612">
        <f t="shared" ref="B24:K24" si="2">SUM(B9:B23)</f>
        <v>174347</v>
      </c>
      <c r="C24" s="612">
        <f t="shared" si="2"/>
        <v>13234599</v>
      </c>
      <c r="D24" s="612">
        <f t="shared" si="2"/>
        <v>171960</v>
      </c>
      <c r="E24" s="612">
        <f t="shared" si="2"/>
        <v>14397120</v>
      </c>
      <c r="F24" s="612">
        <f t="shared" si="2"/>
        <v>147578</v>
      </c>
      <c r="G24" s="612">
        <f t="shared" si="2"/>
        <v>10216999</v>
      </c>
      <c r="H24" s="612">
        <f t="shared" si="2"/>
        <v>67087</v>
      </c>
      <c r="I24" s="612">
        <f t="shared" si="2"/>
        <v>5450144</v>
      </c>
      <c r="J24" s="612">
        <f t="shared" si="2"/>
        <v>560972</v>
      </c>
      <c r="K24" s="612">
        <f t="shared" si="2"/>
        <v>43298862</v>
      </c>
      <c r="L24" s="613" t="s">
        <v>1</v>
      </c>
    </row>
    <row r="25" spans="1:14" s="7" customFormat="1" ht="17.25" customHeight="1" x14ac:dyDescent="0.2">
      <c r="A25" s="862"/>
      <c r="B25" s="862"/>
      <c r="C25" s="862"/>
      <c r="D25" s="862"/>
      <c r="E25" s="862"/>
      <c r="F25" s="862"/>
      <c r="G25" s="862"/>
      <c r="H25" s="862"/>
      <c r="I25" s="285"/>
      <c r="J25" s="285"/>
      <c r="K25" s="285"/>
      <c r="L25" s="286"/>
    </row>
    <row r="26" spans="1:14" ht="14.25" x14ac:dyDescent="0.2">
      <c r="C26" s="7"/>
      <c r="D26" s="7"/>
      <c r="E26" s="7"/>
      <c r="F26" s="7"/>
      <c r="H26" s="1"/>
      <c r="I26" s="1"/>
      <c r="J26" s="1"/>
      <c r="K26" s="1"/>
      <c r="L26" s="258"/>
    </row>
    <row r="27" spans="1:14" ht="15" x14ac:dyDescent="0.25">
      <c r="A27" s="880"/>
      <c r="B27" s="880"/>
      <c r="C27" s="7"/>
      <c r="D27" s="7"/>
      <c r="E27" s="7"/>
      <c r="H27" s="1"/>
      <c r="I27" s="1"/>
      <c r="J27" s="1"/>
      <c r="K27" s="881"/>
      <c r="L27" s="881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6">
    <mergeCell ref="K3:L3"/>
    <mergeCell ref="A27:B27"/>
    <mergeCell ref="K27:L27"/>
    <mergeCell ref="A1:L1"/>
    <mergeCell ref="K4:L4"/>
    <mergeCell ref="A4:B4"/>
    <mergeCell ref="A2:L2"/>
    <mergeCell ref="B6:C6"/>
    <mergeCell ref="F6:G6"/>
    <mergeCell ref="H6:I6"/>
    <mergeCell ref="H5:I5"/>
    <mergeCell ref="B5:C5"/>
    <mergeCell ref="D5:E5"/>
    <mergeCell ref="F5:G5"/>
    <mergeCell ref="D6:E6"/>
    <mergeCell ref="A25:H25"/>
  </mergeCells>
  <phoneticPr fontId="3" type="noConversion"/>
  <printOptions horizontalCentered="1" verticalCentered="1"/>
  <pageMargins left="0.2" right="0.57999999999999996" top="0.97" bottom="1.5354330708661399" header="0.97" footer="0.90551181102362199"/>
  <pageSetup scale="98" orientation="landscape" verticalDpi="300" r:id="rId1"/>
  <headerFooter alignWithMargins="0">
    <oddFooter>&amp;C39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4"/>
  <sheetViews>
    <sheetView rightToLeft="1" view="pageLayout" topLeftCell="A4" zoomScaleSheetLayoutView="96" workbookViewId="0">
      <selection activeCell="G30" sqref="G30"/>
    </sheetView>
  </sheetViews>
  <sheetFormatPr defaultRowHeight="12.75" x14ac:dyDescent="0.2"/>
  <cols>
    <col min="1" max="1" width="9.7109375" customWidth="1"/>
    <col min="2" max="2" width="13" customWidth="1"/>
    <col min="3" max="3" width="15" customWidth="1"/>
    <col min="4" max="4" width="11.140625" customWidth="1"/>
    <col min="5" max="5" width="14.140625" customWidth="1"/>
    <col min="6" max="6" width="12.42578125" customWidth="1"/>
    <col min="7" max="7" width="14.140625" customWidth="1"/>
    <col min="8" max="8" width="11.42578125" style="7" customWidth="1"/>
    <col min="9" max="9" width="14.140625" customWidth="1"/>
    <col min="10" max="10" width="14.85546875" customWidth="1"/>
  </cols>
  <sheetData>
    <row r="1" spans="1:12" ht="15" x14ac:dyDescent="0.2">
      <c r="A1" s="888" t="s">
        <v>433</v>
      </c>
      <c r="B1" s="888"/>
      <c r="C1" s="888"/>
      <c r="D1" s="888"/>
      <c r="E1" s="888"/>
      <c r="F1" s="888"/>
      <c r="G1" s="888"/>
      <c r="H1" s="888"/>
      <c r="I1" s="888"/>
      <c r="J1" s="888"/>
    </row>
    <row r="2" spans="1:12" ht="15" x14ac:dyDescent="0.2">
      <c r="A2" s="890" t="s">
        <v>426</v>
      </c>
      <c r="B2" s="890"/>
      <c r="C2" s="890"/>
      <c r="D2" s="890"/>
      <c r="E2" s="890"/>
      <c r="F2" s="890"/>
      <c r="G2" s="890"/>
      <c r="H2" s="890"/>
      <c r="I2" s="890"/>
      <c r="J2" s="890"/>
    </row>
    <row r="3" spans="1:12" s="7" customFormat="1" ht="15" x14ac:dyDescent="0.25">
      <c r="A3" s="324"/>
      <c r="B3" s="324"/>
      <c r="C3" s="324"/>
      <c r="D3" s="324"/>
      <c r="E3" s="324"/>
      <c r="F3" s="324"/>
      <c r="G3" s="324"/>
      <c r="H3" s="407"/>
      <c r="I3" s="848" t="s">
        <v>223</v>
      </c>
      <c r="J3" s="848"/>
    </row>
    <row r="4" spans="1:12" ht="15.75" customHeight="1" thickBot="1" x14ac:dyDescent="0.3">
      <c r="A4" s="889" t="s">
        <v>483</v>
      </c>
      <c r="B4" s="889"/>
      <c r="C4" s="166" t="s">
        <v>169</v>
      </c>
      <c r="D4" s="163"/>
      <c r="E4" s="21"/>
      <c r="F4" s="163"/>
      <c r="G4" s="163"/>
      <c r="H4" s="163"/>
      <c r="I4" s="164" t="s">
        <v>354</v>
      </c>
      <c r="J4" s="165" t="s">
        <v>353</v>
      </c>
    </row>
    <row r="5" spans="1:12" ht="15.75" customHeight="1" x14ac:dyDescent="0.2">
      <c r="A5" s="169"/>
      <c r="B5" s="892" t="s">
        <v>39</v>
      </c>
      <c r="C5" s="892"/>
      <c r="D5" s="892" t="s">
        <v>40</v>
      </c>
      <c r="E5" s="892"/>
      <c r="F5" s="892" t="s">
        <v>41</v>
      </c>
      <c r="G5" s="892"/>
      <c r="H5" s="892" t="s">
        <v>0</v>
      </c>
      <c r="I5" s="892"/>
      <c r="J5" s="170"/>
    </row>
    <row r="6" spans="1:12" s="211" customFormat="1" ht="15" customHeight="1" x14ac:dyDescent="0.25">
      <c r="A6" s="614"/>
      <c r="B6" s="893" t="s">
        <v>306</v>
      </c>
      <c r="C6" s="893"/>
      <c r="D6" s="893" t="s">
        <v>173</v>
      </c>
      <c r="E6" s="893"/>
      <c r="F6" s="891" t="s">
        <v>170</v>
      </c>
      <c r="G6" s="891"/>
      <c r="H6" s="563"/>
      <c r="I6" s="515" t="s">
        <v>1</v>
      </c>
      <c r="J6" s="614"/>
    </row>
    <row r="7" spans="1:12" s="211" customFormat="1" ht="15" customHeight="1" x14ac:dyDescent="0.2">
      <c r="A7" s="614"/>
      <c r="B7" s="615" t="s">
        <v>243</v>
      </c>
      <c r="C7" s="615" t="s">
        <v>246</v>
      </c>
      <c r="D7" s="615" t="s">
        <v>243</v>
      </c>
      <c r="E7" s="615" t="s">
        <v>246</v>
      </c>
      <c r="F7" s="615" t="s">
        <v>243</v>
      </c>
      <c r="G7" s="615" t="s">
        <v>246</v>
      </c>
      <c r="H7" s="894" t="s">
        <v>382</v>
      </c>
      <c r="I7" s="615" t="s">
        <v>246</v>
      </c>
      <c r="J7" s="614"/>
    </row>
    <row r="8" spans="1:12" s="627" customFormat="1" ht="15" customHeight="1" thickBot="1" x14ac:dyDescent="0.25">
      <c r="A8" s="616" t="s">
        <v>54</v>
      </c>
      <c r="B8" s="616" t="s">
        <v>138</v>
      </c>
      <c r="C8" s="287" t="s">
        <v>29</v>
      </c>
      <c r="D8" s="616" t="s">
        <v>138</v>
      </c>
      <c r="E8" s="617" t="s">
        <v>29</v>
      </c>
      <c r="F8" s="616" t="s">
        <v>138</v>
      </c>
      <c r="G8" s="287" t="s">
        <v>29</v>
      </c>
      <c r="H8" s="894"/>
      <c r="I8" s="287" t="s">
        <v>29</v>
      </c>
      <c r="J8" s="287" t="s">
        <v>26</v>
      </c>
    </row>
    <row r="9" spans="1:12" s="564" customFormat="1" ht="15" customHeight="1" x14ac:dyDescent="0.2">
      <c r="A9" s="620" t="s">
        <v>395</v>
      </c>
      <c r="B9" s="621">
        <v>277</v>
      </c>
      <c r="C9" s="621">
        <f>B9*75</f>
        <v>20775</v>
      </c>
      <c r="D9" s="621">
        <v>1579</v>
      </c>
      <c r="E9" s="622">
        <f>D9*70</f>
        <v>110530</v>
      </c>
      <c r="F9" s="621">
        <v>486</v>
      </c>
      <c r="G9" s="622">
        <f>F9*95</f>
        <v>46170</v>
      </c>
      <c r="H9" s="621">
        <f>B9+D9+F9</f>
        <v>2342</v>
      </c>
      <c r="I9" s="621">
        <f>C9+E9+G9</f>
        <v>177475</v>
      </c>
      <c r="J9" s="170" t="s">
        <v>397</v>
      </c>
    </row>
    <row r="10" spans="1:12" s="7" customFormat="1" ht="15" customHeight="1" x14ac:dyDescent="0.2">
      <c r="A10" s="167" t="s">
        <v>30</v>
      </c>
      <c r="B10" s="162">
        <v>1287</v>
      </c>
      <c r="C10" s="162">
        <f t="shared" ref="C10:C23" si="0">B10*75</f>
        <v>96525</v>
      </c>
      <c r="D10" s="162">
        <v>21309</v>
      </c>
      <c r="E10" s="623">
        <f>D10*55</f>
        <v>1171995</v>
      </c>
      <c r="F10" s="162">
        <v>8417</v>
      </c>
      <c r="G10" s="623">
        <f>F10*75</f>
        <v>631275</v>
      </c>
      <c r="H10" s="162">
        <f t="shared" ref="H10:H23" si="1">B10+D10+F10</f>
        <v>31013</v>
      </c>
      <c r="I10" s="162">
        <f t="shared" ref="I10:I23" si="2">C10+E10+G10</f>
        <v>1899795</v>
      </c>
      <c r="J10" s="168" t="s">
        <v>31</v>
      </c>
    </row>
    <row r="11" spans="1:12" s="447" customFormat="1" ht="15" customHeight="1" x14ac:dyDescent="0.2">
      <c r="A11" s="171" t="s">
        <v>3</v>
      </c>
      <c r="B11" s="161">
        <v>18448</v>
      </c>
      <c r="C11" s="161">
        <f t="shared" si="0"/>
        <v>1383600</v>
      </c>
      <c r="D11" s="161">
        <v>27021</v>
      </c>
      <c r="E11" s="624">
        <f>D11*70</f>
        <v>1891470</v>
      </c>
      <c r="F11" s="161">
        <v>2948</v>
      </c>
      <c r="G11" s="624">
        <f>F11*75</f>
        <v>221100</v>
      </c>
      <c r="H11" s="161">
        <f t="shared" si="1"/>
        <v>48417</v>
      </c>
      <c r="I11" s="161">
        <f t="shared" si="2"/>
        <v>3496170</v>
      </c>
      <c r="J11" s="172" t="s">
        <v>15</v>
      </c>
    </row>
    <row r="12" spans="1:12" ht="15" customHeight="1" x14ac:dyDescent="0.2">
      <c r="A12" s="167" t="s">
        <v>381</v>
      </c>
      <c r="B12" s="162">
        <v>0</v>
      </c>
      <c r="C12" s="162">
        <f t="shared" si="0"/>
        <v>0</v>
      </c>
      <c r="D12" s="162">
        <v>5039</v>
      </c>
      <c r="E12" s="623">
        <f>D12*75</f>
        <v>377925</v>
      </c>
      <c r="F12" s="162">
        <v>1978</v>
      </c>
      <c r="G12" s="623">
        <f>F12*80</f>
        <v>158240</v>
      </c>
      <c r="H12" s="162">
        <f t="shared" si="1"/>
        <v>7017</v>
      </c>
      <c r="I12" s="162">
        <f t="shared" si="2"/>
        <v>536165</v>
      </c>
      <c r="J12" s="168" t="s">
        <v>371</v>
      </c>
      <c r="L12" s="7"/>
    </row>
    <row r="13" spans="1:12" s="447" customFormat="1" ht="15" customHeight="1" x14ac:dyDescent="0.2">
      <c r="A13" s="171" t="s">
        <v>4</v>
      </c>
      <c r="B13" s="161">
        <v>8837</v>
      </c>
      <c r="C13" s="161">
        <f t="shared" si="0"/>
        <v>662775</v>
      </c>
      <c r="D13" s="161">
        <v>100790</v>
      </c>
      <c r="E13" s="624">
        <f>D13*75</f>
        <v>7559250</v>
      </c>
      <c r="F13" s="161">
        <v>88431</v>
      </c>
      <c r="G13" s="624">
        <f>F13*90</f>
        <v>7958790</v>
      </c>
      <c r="H13" s="161">
        <f t="shared" si="1"/>
        <v>198058</v>
      </c>
      <c r="I13" s="161">
        <f t="shared" si="2"/>
        <v>16180815</v>
      </c>
      <c r="J13" s="172" t="s">
        <v>16</v>
      </c>
    </row>
    <row r="14" spans="1:12" ht="15" customHeight="1" x14ac:dyDescent="0.2">
      <c r="A14" s="287" t="s">
        <v>5</v>
      </c>
      <c r="B14" s="285">
        <v>2</v>
      </c>
      <c r="C14" s="162">
        <f t="shared" si="0"/>
        <v>150</v>
      </c>
      <c r="D14" s="285">
        <v>17332</v>
      </c>
      <c r="E14" s="625">
        <f>D14*75</f>
        <v>1299900</v>
      </c>
      <c r="F14" s="285">
        <v>13284</v>
      </c>
      <c r="G14" s="625">
        <f>F14*90</f>
        <v>1195560</v>
      </c>
      <c r="H14" s="162">
        <f t="shared" si="1"/>
        <v>30618</v>
      </c>
      <c r="I14" s="162">
        <f t="shared" si="2"/>
        <v>2495610</v>
      </c>
      <c r="J14" s="288" t="s">
        <v>23</v>
      </c>
      <c r="L14" s="7"/>
    </row>
    <row r="15" spans="1:12" s="447" customFormat="1" ht="15" customHeight="1" x14ac:dyDescent="0.2">
      <c r="A15" s="171" t="s">
        <v>6</v>
      </c>
      <c r="B15" s="161">
        <v>1666</v>
      </c>
      <c r="C15" s="161">
        <f t="shared" si="0"/>
        <v>124950</v>
      </c>
      <c r="D15" s="161">
        <v>13140</v>
      </c>
      <c r="E15" s="624">
        <f>D15*75</f>
        <v>985500</v>
      </c>
      <c r="F15" s="161">
        <v>8919</v>
      </c>
      <c r="G15" s="624">
        <f>F15*90</f>
        <v>802710</v>
      </c>
      <c r="H15" s="161">
        <f t="shared" si="1"/>
        <v>23725</v>
      </c>
      <c r="I15" s="161">
        <f t="shared" si="2"/>
        <v>1913160</v>
      </c>
      <c r="J15" s="172" t="s">
        <v>24</v>
      </c>
    </row>
    <row r="16" spans="1:12" ht="15" customHeight="1" x14ac:dyDescent="0.2">
      <c r="A16" s="287" t="s">
        <v>11</v>
      </c>
      <c r="B16" s="285">
        <v>0</v>
      </c>
      <c r="C16" s="162">
        <f t="shared" si="0"/>
        <v>0</v>
      </c>
      <c r="D16" s="285">
        <v>20707</v>
      </c>
      <c r="E16" s="625">
        <f>D16*75</f>
        <v>1553025</v>
      </c>
      <c r="F16" s="285">
        <v>7144</v>
      </c>
      <c r="G16" s="625">
        <f>F16*80</f>
        <v>571520</v>
      </c>
      <c r="H16" s="162">
        <f t="shared" si="1"/>
        <v>27851</v>
      </c>
      <c r="I16" s="162">
        <f t="shared" si="2"/>
        <v>2124545</v>
      </c>
      <c r="J16" s="288" t="s">
        <v>21</v>
      </c>
      <c r="L16" s="7"/>
    </row>
    <row r="17" spans="1:12" s="447" customFormat="1" ht="15" customHeight="1" x14ac:dyDescent="0.2">
      <c r="A17" s="171" t="s">
        <v>2</v>
      </c>
      <c r="B17" s="161">
        <v>2250</v>
      </c>
      <c r="C17" s="161">
        <f t="shared" si="0"/>
        <v>168750</v>
      </c>
      <c r="D17" s="161">
        <v>8950</v>
      </c>
      <c r="E17" s="624">
        <f>D17*60</f>
        <v>537000</v>
      </c>
      <c r="F17" s="161">
        <v>3332</v>
      </c>
      <c r="G17" s="624">
        <f>F17*85</f>
        <v>283220</v>
      </c>
      <c r="H17" s="161">
        <f t="shared" si="1"/>
        <v>14532</v>
      </c>
      <c r="I17" s="161">
        <f t="shared" si="2"/>
        <v>988970</v>
      </c>
      <c r="J17" s="172" t="s">
        <v>14</v>
      </c>
      <c r="L17" s="447">
        <v>4</v>
      </c>
    </row>
    <row r="18" spans="1:12" ht="15" customHeight="1" x14ac:dyDescent="0.2">
      <c r="A18" s="287" t="s">
        <v>7</v>
      </c>
      <c r="B18" s="285">
        <v>187</v>
      </c>
      <c r="C18" s="162">
        <f t="shared" si="0"/>
        <v>14025</v>
      </c>
      <c r="D18" s="285">
        <v>21791</v>
      </c>
      <c r="E18" s="625">
        <f>D18*70</f>
        <v>1525370</v>
      </c>
      <c r="F18" s="285">
        <v>4543</v>
      </c>
      <c r="G18" s="625">
        <f>F18*75</f>
        <v>340725</v>
      </c>
      <c r="H18" s="162">
        <f t="shared" si="1"/>
        <v>26521</v>
      </c>
      <c r="I18" s="162">
        <f t="shared" si="2"/>
        <v>1880120</v>
      </c>
      <c r="J18" s="288" t="s">
        <v>17</v>
      </c>
      <c r="L18" s="7"/>
    </row>
    <row r="19" spans="1:12" s="447" customFormat="1" ht="18.75" customHeight="1" x14ac:dyDescent="0.2">
      <c r="A19" s="171" t="s">
        <v>8</v>
      </c>
      <c r="B19" s="161">
        <v>0</v>
      </c>
      <c r="C19" s="161">
        <f t="shared" si="0"/>
        <v>0</v>
      </c>
      <c r="D19" s="161">
        <v>8026</v>
      </c>
      <c r="E19" s="624">
        <f>D19*60</f>
        <v>481560</v>
      </c>
      <c r="F19" s="161">
        <v>0</v>
      </c>
      <c r="G19" s="624">
        <f>F19*75</f>
        <v>0</v>
      </c>
      <c r="H19" s="161">
        <f t="shared" si="1"/>
        <v>8026</v>
      </c>
      <c r="I19" s="161">
        <f t="shared" si="2"/>
        <v>481560</v>
      </c>
      <c r="J19" s="172" t="s">
        <v>18</v>
      </c>
    </row>
    <row r="20" spans="1:12" ht="16.5" customHeight="1" x14ac:dyDescent="0.2">
      <c r="A20" s="287" t="s">
        <v>9</v>
      </c>
      <c r="B20" s="285">
        <v>0</v>
      </c>
      <c r="C20" s="162">
        <f t="shared" si="0"/>
        <v>0</v>
      </c>
      <c r="D20" s="285">
        <v>8280</v>
      </c>
      <c r="E20" s="625">
        <f>D20*60</f>
        <v>496800</v>
      </c>
      <c r="F20" s="285">
        <v>0</v>
      </c>
      <c r="G20" s="625">
        <f>F20*80</f>
        <v>0</v>
      </c>
      <c r="H20" s="162">
        <f t="shared" si="1"/>
        <v>8280</v>
      </c>
      <c r="I20" s="162">
        <f t="shared" si="2"/>
        <v>496800</v>
      </c>
      <c r="J20" s="288" t="s">
        <v>19</v>
      </c>
      <c r="L20" s="7"/>
    </row>
    <row r="21" spans="1:12" s="447" customFormat="1" ht="21" customHeight="1" x14ac:dyDescent="0.2">
      <c r="A21" s="171" t="s">
        <v>10</v>
      </c>
      <c r="B21" s="161">
        <v>1485</v>
      </c>
      <c r="C21" s="161">
        <f t="shared" si="0"/>
        <v>111375</v>
      </c>
      <c r="D21" s="161">
        <v>15684</v>
      </c>
      <c r="E21" s="624">
        <f>D21*60</f>
        <v>941040</v>
      </c>
      <c r="F21" s="161">
        <v>2780</v>
      </c>
      <c r="G21" s="624">
        <f>F21*80</f>
        <v>222400</v>
      </c>
      <c r="H21" s="161">
        <f t="shared" si="1"/>
        <v>19949</v>
      </c>
      <c r="I21" s="161">
        <f t="shared" si="2"/>
        <v>1274815</v>
      </c>
      <c r="J21" s="172" t="s">
        <v>20</v>
      </c>
    </row>
    <row r="22" spans="1:12" ht="15" customHeight="1" x14ac:dyDescent="0.2">
      <c r="A22" s="287" t="s">
        <v>12</v>
      </c>
      <c r="B22" s="285">
        <v>0</v>
      </c>
      <c r="C22" s="162">
        <f t="shared" si="0"/>
        <v>0</v>
      </c>
      <c r="D22" s="285">
        <v>5624</v>
      </c>
      <c r="E22" s="625">
        <f>D22*60</f>
        <v>337440</v>
      </c>
      <c r="F22" s="285">
        <v>108</v>
      </c>
      <c r="G22" s="625">
        <f>F22*85</f>
        <v>9180</v>
      </c>
      <c r="H22" s="162">
        <f t="shared" si="1"/>
        <v>5732</v>
      </c>
      <c r="I22" s="162">
        <f t="shared" si="2"/>
        <v>346620</v>
      </c>
      <c r="J22" s="288" t="s">
        <v>25</v>
      </c>
      <c r="L22" s="7"/>
    </row>
    <row r="23" spans="1:12" s="447" customFormat="1" ht="15" customHeight="1" thickBot="1" x14ac:dyDescent="0.25">
      <c r="A23" s="171" t="s">
        <v>13</v>
      </c>
      <c r="B23" s="161">
        <v>117</v>
      </c>
      <c r="C23" s="161">
        <f t="shared" si="0"/>
        <v>8775</v>
      </c>
      <c r="D23" s="161">
        <v>22103</v>
      </c>
      <c r="E23" s="624">
        <f>D23*70</f>
        <v>1547210</v>
      </c>
      <c r="F23" s="161">
        <v>11140</v>
      </c>
      <c r="G23" s="624">
        <f>F23*90</f>
        <v>1002600</v>
      </c>
      <c r="H23" s="161">
        <f t="shared" si="1"/>
        <v>33360</v>
      </c>
      <c r="I23" s="161">
        <f t="shared" si="2"/>
        <v>2558585</v>
      </c>
      <c r="J23" s="172" t="s">
        <v>22</v>
      </c>
    </row>
    <row r="24" spans="1:12" s="562" customFormat="1" ht="20.25" customHeight="1" thickBot="1" x14ac:dyDescent="0.25">
      <c r="A24" s="618" t="s">
        <v>0</v>
      </c>
      <c r="B24" s="612">
        <f t="shared" ref="B24:I24" si="3">SUM(B9:B23)</f>
        <v>34556</v>
      </c>
      <c r="C24" s="612">
        <f t="shared" si="3"/>
        <v>2591700</v>
      </c>
      <c r="D24" s="612">
        <f t="shared" si="3"/>
        <v>297375</v>
      </c>
      <c r="E24" s="626">
        <f t="shared" si="3"/>
        <v>20816015</v>
      </c>
      <c r="F24" s="612">
        <f t="shared" si="3"/>
        <v>153510</v>
      </c>
      <c r="G24" s="626">
        <f t="shared" si="3"/>
        <v>13443490</v>
      </c>
      <c r="H24" s="612">
        <f t="shared" si="3"/>
        <v>485441</v>
      </c>
      <c r="I24" s="612">
        <f t="shared" si="3"/>
        <v>36851205</v>
      </c>
      <c r="J24" s="619" t="s">
        <v>1</v>
      </c>
    </row>
    <row r="25" spans="1:12" s="7" customFormat="1" ht="20.25" customHeight="1" x14ac:dyDescent="0.2">
      <c r="A25" s="862"/>
      <c r="B25" s="862"/>
      <c r="C25" s="862"/>
      <c r="D25" s="862"/>
      <c r="E25" s="862"/>
      <c r="F25" s="862"/>
      <c r="G25" s="862"/>
      <c r="H25" s="862"/>
      <c r="I25" s="862"/>
      <c r="J25" s="289"/>
    </row>
    <row r="26" spans="1:12" ht="14.25" x14ac:dyDescent="0.2">
      <c r="C26" s="7"/>
      <c r="D26" s="7"/>
      <c r="E26" s="7"/>
      <c r="F26" s="7"/>
      <c r="G26" s="7"/>
      <c r="I26" s="1"/>
      <c r="J26" s="258"/>
      <c r="K26" s="1"/>
    </row>
    <row r="27" spans="1:12" ht="15" customHeight="1" x14ac:dyDescent="0.25">
      <c r="A27" s="880"/>
      <c r="B27" s="880"/>
      <c r="C27" s="7"/>
      <c r="D27" s="7"/>
      <c r="E27" s="7"/>
      <c r="F27" s="7"/>
      <c r="G27" s="7"/>
      <c r="I27" s="1"/>
      <c r="J27" s="56"/>
      <c r="L27" s="56"/>
    </row>
    <row r="28" spans="1:12" ht="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2" ht="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2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2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2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4">
    <mergeCell ref="I3:J3"/>
    <mergeCell ref="A27:B27"/>
    <mergeCell ref="A1:J1"/>
    <mergeCell ref="A4:B4"/>
    <mergeCell ref="A2:J2"/>
    <mergeCell ref="A25:I25"/>
    <mergeCell ref="F6:G6"/>
    <mergeCell ref="F5:G5"/>
    <mergeCell ref="D5:E5"/>
    <mergeCell ref="D6:E6"/>
    <mergeCell ref="B6:C6"/>
    <mergeCell ref="B5:C5"/>
    <mergeCell ref="H7:H8"/>
    <mergeCell ref="H5:I5"/>
  </mergeCells>
  <phoneticPr fontId="3" type="noConversion"/>
  <printOptions horizontalCentered="1" verticalCentered="1"/>
  <pageMargins left="0.25" right="0.63" top="1.17" bottom="0.75" header="2.0099999999999998" footer="0.3"/>
  <pageSetup orientation="landscape" verticalDpi="300" r:id="rId1"/>
  <headerFooter alignWithMargins="0">
    <oddFooter>&amp;C40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9"/>
  <sheetViews>
    <sheetView rightToLeft="1" view="pageLayout" zoomScaleSheetLayoutView="106" workbookViewId="0">
      <selection activeCell="I29" sqref="I29:J29"/>
    </sheetView>
  </sheetViews>
  <sheetFormatPr defaultRowHeight="12.75" x14ac:dyDescent="0.2"/>
  <cols>
    <col min="1" max="1" width="12" customWidth="1"/>
    <col min="2" max="2" width="12.7109375" customWidth="1"/>
    <col min="3" max="3" width="15.7109375" customWidth="1"/>
    <col min="4" max="4" width="11.28515625" customWidth="1"/>
    <col min="5" max="5" width="13.28515625" customWidth="1"/>
    <col min="6" max="6" width="10.5703125" customWidth="1"/>
    <col min="7" max="7" width="11.85546875" customWidth="1"/>
    <col min="8" max="8" width="13.28515625" customWidth="1"/>
    <col min="9" max="9" width="14.85546875" customWidth="1"/>
    <col min="10" max="10" width="16.42578125" customWidth="1"/>
  </cols>
  <sheetData>
    <row r="1" spans="1:13" ht="15" x14ac:dyDescent="0.2">
      <c r="A1" s="896" t="s">
        <v>433</v>
      </c>
      <c r="B1" s="896"/>
      <c r="C1" s="896"/>
      <c r="D1" s="896"/>
      <c r="E1" s="896"/>
      <c r="F1" s="896"/>
      <c r="G1" s="896"/>
      <c r="H1" s="896"/>
      <c r="I1" s="896"/>
      <c r="J1" s="896"/>
    </row>
    <row r="2" spans="1:13" ht="15" x14ac:dyDescent="0.2">
      <c r="A2" s="895" t="s">
        <v>434</v>
      </c>
      <c r="B2" s="895"/>
      <c r="C2" s="895"/>
      <c r="D2" s="895"/>
      <c r="E2" s="895"/>
      <c r="F2" s="895"/>
      <c r="G2" s="895"/>
      <c r="H2" s="895"/>
      <c r="I2" s="895"/>
      <c r="J2" s="895"/>
    </row>
    <row r="3" spans="1:13" s="7" customFormat="1" ht="15" x14ac:dyDescent="0.25">
      <c r="A3" s="325"/>
      <c r="B3" s="325"/>
      <c r="C3" s="325"/>
      <c r="D3" s="325"/>
      <c r="E3" s="325"/>
      <c r="F3" s="325"/>
      <c r="G3" s="325"/>
      <c r="H3" s="325"/>
      <c r="I3" s="848" t="s">
        <v>223</v>
      </c>
      <c r="J3" s="848"/>
    </row>
    <row r="4" spans="1:13" ht="14.25" customHeight="1" thickBot="1" x14ac:dyDescent="0.3">
      <c r="A4" s="897" t="s">
        <v>483</v>
      </c>
      <c r="B4" s="897"/>
      <c r="C4" s="897" t="s">
        <v>32</v>
      </c>
      <c r="D4" s="897"/>
      <c r="E4" s="173"/>
      <c r="F4" s="27"/>
      <c r="G4" s="174"/>
      <c r="H4" s="898" t="s">
        <v>355</v>
      </c>
      <c r="I4" s="898"/>
      <c r="J4" s="175" t="s">
        <v>347</v>
      </c>
    </row>
    <row r="5" spans="1:13" ht="15" customHeight="1" x14ac:dyDescent="0.25">
      <c r="A5" s="10"/>
      <c r="B5" s="899" t="s">
        <v>388</v>
      </c>
      <c r="C5" s="899"/>
      <c r="D5" s="899" t="s">
        <v>250</v>
      </c>
      <c r="E5" s="899"/>
      <c r="F5" s="899" t="s">
        <v>50</v>
      </c>
      <c r="G5" s="899"/>
      <c r="H5" s="899" t="s">
        <v>51</v>
      </c>
      <c r="I5" s="899"/>
      <c r="J5" s="176"/>
    </row>
    <row r="6" spans="1:13" ht="15" customHeight="1" x14ac:dyDescent="0.25">
      <c r="A6" s="177"/>
      <c r="B6" s="895" t="s">
        <v>307</v>
      </c>
      <c r="C6" s="895"/>
      <c r="D6" s="895" t="s">
        <v>171</v>
      </c>
      <c r="E6" s="895"/>
      <c r="F6" s="824" t="s">
        <v>308</v>
      </c>
      <c r="G6" s="824"/>
      <c r="H6" s="895" t="s">
        <v>309</v>
      </c>
      <c r="I6" s="895"/>
      <c r="J6" s="177"/>
    </row>
    <row r="7" spans="1:13" ht="15" customHeight="1" x14ac:dyDescent="0.2">
      <c r="A7" s="177"/>
      <c r="B7" s="629" t="s">
        <v>44</v>
      </c>
      <c r="C7" s="629" t="s">
        <v>246</v>
      </c>
      <c r="D7" s="629" t="s">
        <v>44</v>
      </c>
      <c r="E7" s="629" t="s">
        <v>246</v>
      </c>
      <c r="F7" s="629" t="s">
        <v>27</v>
      </c>
      <c r="G7" s="629" t="s">
        <v>246</v>
      </c>
      <c r="H7" s="630" t="s">
        <v>27</v>
      </c>
      <c r="I7" s="630" t="s">
        <v>246</v>
      </c>
      <c r="J7" s="631"/>
    </row>
    <row r="8" spans="1:13" ht="15.75" customHeight="1" x14ac:dyDescent="0.2">
      <c r="A8" s="178" t="s">
        <v>147</v>
      </c>
      <c r="B8" s="632" t="s">
        <v>45</v>
      </c>
      <c r="C8" s="633" t="s">
        <v>29</v>
      </c>
      <c r="D8" s="633" t="s">
        <v>45</v>
      </c>
      <c r="E8" s="633" t="s">
        <v>29</v>
      </c>
      <c r="F8" s="633" t="s">
        <v>139</v>
      </c>
      <c r="G8" s="633" t="s">
        <v>29</v>
      </c>
      <c r="H8" s="292" t="s">
        <v>139</v>
      </c>
      <c r="I8" s="292" t="s">
        <v>29</v>
      </c>
      <c r="J8" s="631" t="s">
        <v>26</v>
      </c>
      <c r="K8" s="7"/>
      <c r="L8" s="7"/>
      <c r="M8" s="7"/>
    </row>
    <row r="9" spans="1:13" s="7" customFormat="1" ht="6.75" customHeight="1" x14ac:dyDescent="0.2">
      <c r="A9" s="178"/>
      <c r="B9" s="632"/>
      <c r="C9" s="633"/>
      <c r="D9" s="633"/>
      <c r="E9" s="633"/>
      <c r="F9" s="633"/>
      <c r="G9" s="633"/>
      <c r="H9" s="292"/>
      <c r="I9" s="292"/>
      <c r="J9" s="631"/>
    </row>
    <row r="10" spans="1:13" s="600" customFormat="1" ht="6" customHeight="1" thickBot="1" x14ac:dyDescent="0.25">
      <c r="A10" s="628"/>
      <c r="B10" s="634"/>
      <c r="C10" s="635"/>
      <c r="D10" s="635"/>
      <c r="E10" s="635"/>
      <c r="F10" s="635"/>
      <c r="G10" s="635"/>
      <c r="H10" s="636"/>
      <c r="I10" s="636"/>
      <c r="J10" s="637"/>
    </row>
    <row r="11" spans="1:13" s="447" customFormat="1" ht="15" customHeight="1" x14ac:dyDescent="0.2">
      <c r="A11" s="641" t="s">
        <v>395</v>
      </c>
      <c r="B11" s="182">
        <v>22774</v>
      </c>
      <c r="C11" s="182">
        <f>B11*2</f>
        <v>45548</v>
      </c>
      <c r="D11" s="182">
        <v>81</v>
      </c>
      <c r="E11" s="182">
        <f>D11*2</f>
        <v>162</v>
      </c>
      <c r="F11" s="182">
        <v>2150</v>
      </c>
      <c r="G11" s="182">
        <f>F11*50</f>
        <v>107500</v>
      </c>
      <c r="H11" s="182">
        <v>1043</v>
      </c>
      <c r="I11" s="182">
        <f>H11*5</f>
        <v>5215</v>
      </c>
      <c r="J11" s="642" t="s">
        <v>397</v>
      </c>
    </row>
    <row r="12" spans="1:13" s="211" customFormat="1" ht="15" customHeight="1" x14ac:dyDescent="0.2">
      <c r="A12" s="630" t="s">
        <v>30</v>
      </c>
      <c r="B12" s="290">
        <v>351056</v>
      </c>
      <c r="C12" s="290">
        <f t="shared" ref="C12:C25" si="0">B12*2</f>
        <v>702112</v>
      </c>
      <c r="D12" s="290">
        <v>805</v>
      </c>
      <c r="E12" s="290">
        <f t="shared" ref="E12:E15" si="1">D12*2</f>
        <v>1610</v>
      </c>
      <c r="F12" s="290">
        <v>24857</v>
      </c>
      <c r="G12" s="290">
        <f>F12*60</f>
        <v>1491420</v>
      </c>
      <c r="H12" s="290">
        <v>15002</v>
      </c>
      <c r="I12" s="290">
        <f t="shared" ref="I12:I25" si="2">H12*5</f>
        <v>75010</v>
      </c>
      <c r="J12" s="814" t="s">
        <v>31</v>
      </c>
    </row>
    <row r="13" spans="1:13" s="447" customFormat="1" ht="15" customHeight="1" x14ac:dyDescent="0.2">
      <c r="A13" s="179" t="s">
        <v>3</v>
      </c>
      <c r="B13" s="182">
        <v>287301</v>
      </c>
      <c r="C13" s="182">
        <f t="shared" si="0"/>
        <v>574602</v>
      </c>
      <c r="D13" s="182">
        <v>1224</v>
      </c>
      <c r="E13" s="182">
        <f t="shared" si="1"/>
        <v>2448</v>
      </c>
      <c r="F13" s="182">
        <v>29999</v>
      </c>
      <c r="G13" s="182">
        <f>F13*50</f>
        <v>1499950</v>
      </c>
      <c r="H13" s="182">
        <v>17517</v>
      </c>
      <c r="I13" s="182">
        <f t="shared" si="2"/>
        <v>87585</v>
      </c>
      <c r="J13" s="180" t="s">
        <v>15</v>
      </c>
    </row>
    <row r="14" spans="1:13" s="211" customFormat="1" ht="15" customHeight="1" x14ac:dyDescent="0.2">
      <c r="A14" s="630" t="s">
        <v>381</v>
      </c>
      <c r="B14" s="290">
        <v>92609</v>
      </c>
      <c r="C14" s="290">
        <f t="shared" si="0"/>
        <v>185218</v>
      </c>
      <c r="D14" s="290">
        <v>224</v>
      </c>
      <c r="E14" s="290">
        <f t="shared" si="1"/>
        <v>448</v>
      </c>
      <c r="F14" s="290">
        <v>5011</v>
      </c>
      <c r="G14" s="290">
        <f>F14*60</f>
        <v>300660</v>
      </c>
      <c r="H14" s="290">
        <v>3314</v>
      </c>
      <c r="I14" s="290">
        <f t="shared" si="2"/>
        <v>16570</v>
      </c>
      <c r="J14" s="814" t="s">
        <v>371</v>
      </c>
    </row>
    <row r="15" spans="1:13" s="447" customFormat="1" ht="15" customHeight="1" x14ac:dyDescent="0.2">
      <c r="A15" s="179" t="s">
        <v>4</v>
      </c>
      <c r="B15" s="182">
        <v>2099541</v>
      </c>
      <c r="C15" s="182">
        <f t="shared" si="0"/>
        <v>4199082</v>
      </c>
      <c r="D15" s="182">
        <v>7004</v>
      </c>
      <c r="E15" s="182">
        <f t="shared" si="1"/>
        <v>14008</v>
      </c>
      <c r="F15" s="182">
        <v>203434</v>
      </c>
      <c r="G15" s="182">
        <f>F15*50</f>
        <v>10171700</v>
      </c>
      <c r="H15" s="182">
        <v>92486</v>
      </c>
      <c r="I15" s="182">
        <f t="shared" si="2"/>
        <v>462430</v>
      </c>
      <c r="J15" s="180" t="s">
        <v>16</v>
      </c>
    </row>
    <row r="16" spans="1:13" s="211" customFormat="1" ht="15" customHeight="1" x14ac:dyDescent="0.2">
      <c r="A16" s="292" t="s">
        <v>5</v>
      </c>
      <c r="B16" s="290">
        <v>309852</v>
      </c>
      <c r="C16" s="290">
        <f t="shared" si="0"/>
        <v>619704</v>
      </c>
      <c r="D16" s="290">
        <v>775</v>
      </c>
      <c r="E16" s="290">
        <f>D16*1</f>
        <v>775</v>
      </c>
      <c r="F16" s="290">
        <v>28526</v>
      </c>
      <c r="G16" s="290">
        <f>F16*45</f>
        <v>1283670</v>
      </c>
      <c r="H16" s="290">
        <v>14544</v>
      </c>
      <c r="I16" s="290">
        <f t="shared" si="2"/>
        <v>72720</v>
      </c>
      <c r="J16" s="291" t="s">
        <v>23</v>
      </c>
    </row>
    <row r="17" spans="1:10" s="447" customFormat="1" ht="15" customHeight="1" x14ac:dyDescent="0.2">
      <c r="A17" s="179" t="s">
        <v>6</v>
      </c>
      <c r="B17" s="182">
        <v>166012</v>
      </c>
      <c r="C17" s="182">
        <f t="shared" si="0"/>
        <v>332024</v>
      </c>
      <c r="D17" s="182">
        <v>852</v>
      </c>
      <c r="E17" s="182">
        <f t="shared" ref="E17:E18" si="3">D17*1</f>
        <v>852</v>
      </c>
      <c r="F17" s="182">
        <v>31255</v>
      </c>
      <c r="G17" s="182">
        <f>F17*50</f>
        <v>1562750</v>
      </c>
      <c r="H17" s="182">
        <v>13353</v>
      </c>
      <c r="I17" s="182">
        <f t="shared" si="2"/>
        <v>66765</v>
      </c>
      <c r="J17" s="180" t="s">
        <v>24</v>
      </c>
    </row>
    <row r="18" spans="1:10" s="211" customFormat="1" ht="15" customHeight="1" x14ac:dyDescent="0.2">
      <c r="A18" s="292" t="s">
        <v>11</v>
      </c>
      <c r="B18" s="290">
        <v>252009</v>
      </c>
      <c r="C18" s="290">
        <f t="shared" si="0"/>
        <v>504018</v>
      </c>
      <c r="D18" s="290">
        <v>2625</v>
      </c>
      <c r="E18" s="290">
        <f t="shared" si="3"/>
        <v>2625</v>
      </c>
      <c r="F18" s="290">
        <v>25133</v>
      </c>
      <c r="G18" s="290">
        <f>F18*40</f>
        <v>1005320</v>
      </c>
      <c r="H18" s="290">
        <v>12702</v>
      </c>
      <c r="I18" s="290">
        <f t="shared" si="2"/>
        <v>63510</v>
      </c>
      <c r="J18" s="291" t="s">
        <v>21</v>
      </c>
    </row>
    <row r="19" spans="1:10" s="447" customFormat="1" ht="15" customHeight="1" x14ac:dyDescent="0.2">
      <c r="A19" s="179" t="s">
        <v>2</v>
      </c>
      <c r="B19" s="182">
        <v>169359</v>
      </c>
      <c r="C19" s="182">
        <f t="shared" si="0"/>
        <v>338718</v>
      </c>
      <c r="D19" s="182">
        <v>519</v>
      </c>
      <c r="E19" s="182">
        <f>D19*2</f>
        <v>1038</v>
      </c>
      <c r="F19" s="182">
        <v>9277</v>
      </c>
      <c r="G19" s="182">
        <f>F19*50</f>
        <v>463850</v>
      </c>
      <c r="H19" s="182">
        <v>5353</v>
      </c>
      <c r="I19" s="182">
        <f t="shared" si="2"/>
        <v>26765</v>
      </c>
      <c r="J19" s="180" t="s">
        <v>14</v>
      </c>
    </row>
    <row r="20" spans="1:10" s="211" customFormat="1" ht="15" customHeight="1" x14ac:dyDescent="0.2">
      <c r="A20" s="292" t="s">
        <v>7</v>
      </c>
      <c r="B20" s="290">
        <v>356158</v>
      </c>
      <c r="C20" s="290">
        <f t="shared" si="0"/>
        <v>712316</v>
      </c>
      <c r="D20" s="290">
        <v>1143</v>
      </c>
      <c r="E20" s="290">
        <f>D20*1</f>
        <v>1143</v>
      </c>
      <c r="F20" s="290">
        <v>36046</v>
      </c>
      <c r="G20" s="290">
        <f>F20*50</f>
        <v>1802300</v>
      </c>
      <c r="H20" s="290">
        <v>16202</v>
      </c>
      <c r="I20" s="290">
        <f t="shared" si="2"/>
        <v>81010</v>
      </c>
      <c r="J20" s="291" t="s">
        <v>17</v>
      </c>
    </row>
    <row r="21" spans="1:10" s="447" customFormat="1" ht="15" customHeight="1" x14ac:dyDescent="0.2">
      <c r="A21" s="179" t="s">
        <v>8</v>
      </c>
      <c r="B21" s="182">
        <v>126568</v>
      </c>
      <c r="C21" s="182">
        <f t="shared" si="0"/>
        <v>253136</v>
      </c>
      <c r="D21" s="182">
        <v>352</v>
      </c>
      <c r="E21" s="182">
        <f>D21*1</f>
        <v>352</v>
      </c>
      <c r="F21" s="182">
        <v>12784</v>
      </c>
      <c r="G21" s="182">
        <f>F21*50</f>
        <v>639200</v>
      </c>
      <c r="H21" s="182">
        <v>6476</v>
      </c>
      <c r="I21" s="182">
        <f t="shared" si="2"/>
        <v>32380</v>
      </c>
      <c r="J21" s="180" t="s">
        <v>18</v>
      </c>
    </row>
    <row r="22" spans="1:10" s="211" customFormat="1" ht="15" customHeight="1" x14ac:dyDescent="0.2">
      <c r="A22" s="292" t="s">
        <v>9</v>
      </c>
      <c r="B22" s="290">
        <v>125710</v>
      </c>
      <c r="C22" s="290">
        <f t="shared" si="0"/>
        <v>251420</v>
      </c>
      <c r="D22" s="290">
        <v>280</v>
      </c>
      <c r="E22" s="290">
        <f>D22*1</f>
        <v>280</v>
      </c>
      <c r="F22" s="290">
        <v>15620</v>
      </c>
      <c r="G22" s="290">
        <f>F22*40</f>
        <v>624800</v>
      </c>
      <c r="H22" s="290">
        <v>5753</v>
      </c>
      <c r="I22" s="290">
        <f t="shared" si="2"/>
        <v>28765</v>
      </c>
      <c r="J22" s="291" t="s">
        <v>19</v>
      </c>
    </row>
    <row r="23" spans="1:10" s="447" customFormat="1" ht="15" customHeight="1" x14ac:dyDescent="0.2">
      <c r="A23" s="179" t="s">
        <v>10</v>
      </c>
      <c r="B23" s="182">
        <v>327915</v>
      </c>
      <c r="C23" s="182">
        <f t="shared" si="0"/>
        <v>655830</v>
      </c>
      <c r="D23" s="182">
        <v>1173</v>
      </c>
      <c r="E23" s="182">
        <f>D23*2</f>
        <v>2346</v>
      </c>
      <c r="F23" s="182">
        <v>18850</v>
      </c>
      <c r="G23" s="182">
        <f>F23*50</f>
        <v>942500</v>
      </c>
      <c r="H23" s="182">
        <v>10721</v>
      </c>
      <c r="I23" s="182">
        <f t="shared" si="2"/>
        <v>53605</v>
      </c>
      <c r="J23" s="180" t="s">
        <v>20</v>
      </c>
    </row>
    <row r="24" spans="1:10" s="211" customFormat="1" ht="15" customHeight="1" x14ac:dyDescent="0.2">
      <c r="A24" s="292" t="s">
        <v>12</v>
      </c>
      <c r="B24" s="290">
        <v>83214</v>
      </c>
      <c r="C24" s="290">
        <f t="shared" si="0"/>
        <v>166428</v>
      </c>
      <c r="D24" s="290">
        <v>361</v>
      </c>
      <c r="E24" s="290">
        <f t="shared" ref="E24:E25" si="4">D24*2</f>
        <v>722</v>
      </c>
      <c r="F24" s="290">
        <v>7633</v>
      </c>
      <c r="G24" s="290">
        <f>F24*50</f>
        <v>381650</v>
      </c>
      <c r="H24" s="290">
        <v>4891</v>
      </c>
      <c r="I24" s="290">
        <f t="shared" si="2"/>
        <v>24455</v>
      </c>
      <c r="J24" s="291" t="s">
        <v>25</v>
      </c>
    </row>
    <row r="25" spans="1:10" s="447" customFormat="1" ht="15" customHeight="1" thickBot="1" x14ac:dyDescent="0.25">
      <c r="A25" s="179" t="s">
        <v>13</v>
      </c>
      <c r="B25" s="182">
        <v>270181</v>
      </c>
      <c r="C25" s="182">
        <f t="shared" si="0"/>
        <v>540362</v>
      </c>
      <c r="D25" s="182">
        <v>1769</v>
      </c>
      <c r="E25" s="182">
        <f t="shared" si="4"/>
        <v>3538</v>
      </c>
      <c r="F25" s="182">
        <v>33378</v>
      </c>
      <c r="G25" s="182">
        <f>F25*50</f>
        <v>1668900</v>
      </c>
      <c r="H25" s="182">
        <v>12876</v>
      </c>
      <c r="I25" s="182">
        <f t="shared" si="2"/>
        <v>64380</v>
      </c>
      <c r="J25" s="180" t="s">
        <v>22</v>
      </c>
    </row>
    <row r="26" spans="1:10" s="562" customFormat="1" ht="20.25" customHeight="1" thickBot="1" x14ac:dyDescent="0.25">
      <c r="A26" s="638" t="s">
        <v>0</v>
      </c>
      <c r="B26" s="639">
        <f t="shared" ref="B26:I26" si="5">SUM(B11:B25)</f>
        <v>5040259</v>
      </c>
      <c r="C26" s="639">
        <f>SUM(C11:C25)</f>
        <v>10080518</v>
      </c>
      <c r="D26" s="639">
        <f t="shared" si="5"/>
        <v>19187</v>
      </c>
      <c r="E26" s="639">
        <f t="shared" si="5"/>
        <v>32347</v>
      </c>
      <c r="F26" s="639">
        <f t="shared" si="5"/>
        <v>483953</v>
      </c>
      <c r="G26" s="639">
        <f t="shared" si="5"/>
        <v>23946170</v>
      </c>
      <c r="H26" s="639">
        <f t="shared" si="5"/>
        <v>232233</v>
      </c>
      <c r="I26" s="639">
        <f t="shared" si="5"/>
        <v>1161165</v>
      </c>
      <c r="J26" s="640" t="s">
        <v>1</v>
      </c>
    </row>
    <row r="27" spans="1:10" s="7" customFormat="1" ht="20.25" customHeight="1" x14ac:dyDescent="0.2">
      <c r="A27" s="862"/>
      <c r="B27" s="862"/>
      <c r="C27" s="862"/>
      <c r="D27" s="862"/>
      <c r="E27" s="862"/>
      <c r="F27" s="862"/>
      <c r="G27" s="862"/>
      <c r="H27" s="862"/>
      <c r="I27" s="290"/>
      <c r="J27" s="291"/>
    </row>
    <row r="28" spans="1:10" ht="14.25" x14ac:dyDescent="0.2">
      <c r="C28" s="7"/>
      <c r="D28" s="7"/>
      <c r="E28" s="7"/>
      <c r="F28" s="7"/>
      <c r="G28" s="7"/>
      <c r="H28" s="1"/>
      <c r="J28" s="258"/>
    </row>
    <row r="29" spans="1:10" ht="12.75" customHeight="1" x14ac:dyDescent="0.25">
      <c r="A29" s="880"/>
      <c r="B29" s="880"/>
      <c r="C29" s="7"/>
      <c r="D29" s="7"/>
      <c r="E29" s="7"/>
      <c r="F29" s="7"/>
      <c r="G29" s="7"/>
      <c r="H29" s="1"/>
      <c r="I29" s="881"/>
      <c r="J29" s="881"/>
    </row>
  </sheetData>
  <mergeCells count="17">
    <mergeCell ref="A29:B29"/>
    <mergeCell ref="I29:J29"/>
    <mergeCell ref="C4:D4"/>
    <mergeCell ref="H4:I4"/>
    <mergeCell ref="A27:H27"/>
    <mergeCell ref="B5:C5"/>
    <mergeCell ref="B6:C6"/>
    <mergeCell ref="F5:G5"/>
    <mergeCell ref="F6:G6"/>
    <mergeCell ref="D5:E5"/>
    <mergeCell ref="D6:E6"/>
    <mergeCell ref="H5:I5"/>
    <mergeCell ref="H6:I6"/>
    <mergeCell ref="A1:J1"/>
    <mergeCell ref="A4:B4"/>
    <mergeCell ref="A2:J2"/>
    <mergeCell ref="I3:J3"/>
  </mergeCells>
  <phoneticPr fontId="3" type="noConversion"/>
  <printOptions horizontalCentered="1" verticalCentered="1"/>
  <pageMargins left="0.24" right="0.3" top="1.0416666666666666E-2" bottom="0.75" header="0.3" footer="0.3"/>
  <pageSetup orientation="landscape" verticalDpi="300" r:id="rId1"/>
  <headerFooter alignWithMargins="0">
    <oddFooter>&amp;C41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L27"/>
  <sheetViews>
    <sheetView rightToLeft="1" view="pageLayout" zoomScaleSheetLayoutView="100" workbookViewId="0">
      <selection activeCell="J1" sqref="J1:J1048576"/>
    </sheetView>
  </sheetViews>
  <sheetFormatPr defaultRowHeight="12.75" x14ac:dyDescent="0.2"/>
  <cols>
    <col min="1" max="1" width="12" customWidth="1"/>
    <col min="2" max="2" width="10.140625" customWidth="1"/>
    <col min="3" max="3" width="13.7109375" customWidth="1"/>
    <col min="4" max="4" width="12.140625" customWidth="1"/>
    <col min="5" max="5" width="14.42578125" customWidth="1"/>
    <col min="6" max="6" width="15.7109375" customWidth="1"/>
    <col min="7" max="7" width="12.5703125" style="7" customWidth="1"/>
    <col min="8" max="8" width="16" customWidth="1"/>
    <col min="9" max="9" width="15.5703125" customWidth="1"/>
  </cols>
  <sheetData>
    <row r="1" spans="1:11" ht="15" x14ac:dyDescent="0.2">
      <c r="A1" s="900" t="s">
        <v>433</v>
      </c>
      <c r="B1" s="900"/>
      <c r="C1" s="900"/>
      <c r="D1" s="900"/>
      <c r="E1" s="900"/>
      <c r="F1" s="900"/>
      <c r="G1" s="900"/>
      <c r="H1" s="900"/>
      <c r="I1" s="900"/>
    </row>
    <row r="2" spans="1:11" ht="16.5" customHeight="1" x14ac:dyDescent="0.2">
      <c r="A2" s="901" t="s">
        <v>435</v>
      </c>
      <c r="B2" s="901"/>
      <c r="C2" s="901"/>
      <c r="D2" s="901"/>
      <c r="E2" s="901"/>
      <c r="F2" s="901"/>
      <c r="G2" s="901"/>
      <c r="H2" s="901"/>
      <c r="I2" s="901"/>
    </row>
    <row r="3" spans="1:11" s="7" customFormat="1" ht="16.5" customHeight="1" x14ac:dyDescent="0.25">
      <c r="A3" s="326"/>
      <c r="B3" s="326"/>
      <c r="C3" s="326"/>
      <c r="D3" s="326"/>
      <c r="E3" s="326"/>
      <c r="F3" s="326"/>
      <c r="G3" s="408"/>
      <c r="H3" s="848" t="s">
        <v>223</v>
      </c>
      <c r="I3" s="848"/>
    </row>
    <row r="4" spans="1:11" ht="15" customHeight="1" thickBot="1" x14ac:dyDescent="0.25">
      <c r="A4" s="902" t="s">
        <v>488</v>
      </c>
      <c r="B4" s="902"/>
      <c r="C4" s="904" t="s">
        <v>188</v>
      </c>
      <c r="D4" s="904"/>
      <c r="E4" s="184"/>
      <c r="F4" s="903" t="s">
        <v>355</v>
      </c>
      <c r="G4" s="903"/>
      <c r="H4" s="903"/>
      <c r="I4" s="344" t="s">
        <v>347</v>
      </c>
    </row>
    <row r="5" spans="1:11" ht="15" customHeight="1" x14ac:dyDescent="0.2">
      <c r="A5" s="185"/>
      <c r="B5" s="186" t="s">
        <v>48</v>
      </c>
      <c r="C5" s="187"/>
      <c r="D5" s="186" t="s">
        <v>38</v>
      </c>
      <c r="E5" s="186"/>
      <c r="F5" s="418" t="s">
        <v>36</v>
      </c>
      <c r="G5" s="905" t="s">
        <v>0</v>
      </c>
      <c r="H5" s="905"/>
      <c r="I5" s="185"/>
    </row>
    <row r="6" spans="1:11" s="7" customFormat="1" ht="28.5" customHeight="1" x14ac:dyDescent="0.2">
      <c r="A6" s="219"/>
      <c r="B6" s="220" t="s">
        <v>265</v>
      </c>
      <c r="C6" s="219"/>
      <c r="D6" s="239" t="s">
        <v>333</v>
      </c>
      <c r="E6" s="220"/>
      <c r="F6" s="221" t="s">
        <v>175</v>
      </c>
      <c r="G6" s="906" t="s">
        <v>1</v>
      </c>
      <c r="H6" s="906"/>
      <c r="I6" s="219"/>
    </row>
    <row r="7" spans="1:11" ht="15" customHeight="1" x14ac:dyDescent="0.2">
      <c r="A7" s="188"/>
      <c r="B7" s="643" t="s">
        <v>27</v>
      </c>
      <c r="C7" s="644" t="s">
        <v>246</v>
      </c>
      <c r="D7" s="644" t="s">
        <v>27</v>
      </c>
      <c r="E7" s="644" t="s">
        <v>248</v>
      </c>
      <c r="F7" s="644" t="s">
        <v>246</v>
      </c>
      <c r="G7" s="643" t="s">
        <v>27</v>
      </c>
      <c r="H7" s="644" t="s">
        <v>246</v>
      </c>
      <c r="I7" s="219"/>
    </row>
    <row r="8" spans="1:11" s="600" customFormat="1" ht="15" customHeight="1" thickBot="1" x14ac:dyDescent="0.25">
      <c r="A8" s="645" t="s">
        <v>52</v>
      </c>
      <c r="B8" s="646" t="s">
        <v>139</v>
      </c>
      <c r="C8" s="647" t="s">
        <v>29</v>
      </c>
      <c r="D8" s="647" t="s">
        <v>139</v>
      </c>
      <c r="E8" s="647" t="s">
        <v>29</v>
      </c>
      <c r="F8" s="647" t="s">
        <v>29</v>
      </c>
      <c r="G8" s="648" t="s">
        <v>139</v>
      </c>
      <c r="H8" s="647" t="s">
        <v>29</v>
      </c>
      <c r="I8" s="649" t="s">
        <v>26</v>
      </c>
    </row>
    <row r="9" spans="1:11" s="447" customFormat="1" ht="15" customHeight="1" x14ac:dyDescent="0.2">
      <c r="A9" s="641" t="s">
        <v>395</v>
      </c>
      <c r="B9" s="182">
        <v>394</v>
      </c>
      <c r="C9" s="182">
        <f>B9*5</f>
        <v>1970</v>
      </c>
      <c r="D9" s="182">
        <v>439</v>
      </c>
      <c r="E9" s="182">
        <f>D9*150</f>
        <v>65850</v>
      </c>
      <c r="F9" s="182">
        <v>97565</v>
      </c>
      <c r="G9" s="182">
        <f>ت.كهربائيه1!B11+ت.كهربائيه1!D11+ت.كهربائيه1!F11+ت.كهربائيه1!H11+ت.كهربائيه2!B9+ت.كهربائيه2!D9</f>
        <v>26881</v>
      </c>
      <c r="H9" s="182">
        <f>ت.كهربائيه1!C11+ت.كهربائيه1!E11+ت.كهربائيه1!G11+ت.كهربائيه1!I11+ت.كهربائيه2!C9+ت.كهربائيه2!E9+ت.كهربائيه2!F9</f>
        <v>323810</v>
      </c>
      <c r="I9" s="293" t="s">
        <v>397</v>
      </c>
    </row>
    <row r="10" spans="1:11" s="7" customFormat="1" ht="15" customHeight="1" x14ac:dyDescent="0.2">
      <c r="A10" s="181" t="s">
        <v>30</v>
      </c>
      <c r="B10" s="183">
        <v>5695</v>
      </c>
      <c r="C10" s="183">
        <f>B10*4</f>
        <v>22780</v>
      </c>
      <c r="D10" s="183">
        <v>0</v>
      </c>
      <c r="E10" s="183">
        <f>D10*150</f>
        <v>0</v>
      </c>
      <c r="F10" s="183">
        <v>3174762</v>
      </c>
      <c r="G10" s="183">
        <f>ت.كهربائيه1!B12+ت.كهربائيه1!D12+ت.كهربائيه1!F12+ت.كهربائيه1!H12+ت.كهربائيه2!B10+ت.كهربائيه2!D10</f>
        <v>397415</v>
      </c>
      <c r="H10" s="183">
        <f>ت.كهربائيه1!C12+ت.كهربائيه1!E12+ت.كهربائيه1!G12+ت.كهربائيه1!I12+ت.كهربائيه2!C10+ت.كهربائيه2!E10+ت.كهربائيه2!F10</f>
        <v>5467694</v>
      </c>
      <c r="I10" s="294" t="s">
        <v>31</v>
      </c>
    </row>
    <row r="11" spans="1:11" s="447" customFormat="1" ht="15" customHeight="1" x14ac:dyDescent="0.2">
      <c r="A11" s="179" t="s">
        <v>3</v>
      </c>
      <c r="B11" s="182">
        <v>1514</v>
      </c>
      <c r="C11" s="182">
        <f>B11*5</f>
        <v>7570</v>
      </c>
      <c r="D11" s="182">
        <v>0</v>
      </c>
      <c r="E11" s="182">
        <f>D11*160</f>
        <v>0</v>
      </c>
      <c r="F11" s="182">
        <v>6111730</v>
      </c>
      <c r="G11" s="182">
        <f>ت.كهربائيه1!B13+ت.كهربائيه1!D13+ت.كهربائيه1!F13+ت.كهربائيه1!H13+ت.كهربائيه2!B11+ت.كهربائيه2!D11</f>
        <v>337555</v>
      </c>
      <c r="H11" s="182">
        <f>ت.كهربائيه1!C13+ت.كهربائيه1!E13+ت.كهربائيه1!G13+ت.كهربائيه1!I13+ت.كهربائيه2!C11+ت.كهربائيه2!E11+ت.كهربائيه2!F11</f>
        <v>8283885</v>
      </c>
      <c r="I11" s="293" t="s">
        <v>15</v>
      </c>
    </row>
    <row r="12" spans="1:11" ht="15" customHeight="1" x14ac:dyDescent="0.2">
      <c r="A12" s="181" t="s">
        <v>381</v>
      </c>
      <c r="B12" s="183">
        <v>1613</v>
      </c>
      <c r="C12" s="183">
        <f>B12*4</f>
        <v>6452</v>
      </c>
      <c r="D12" s="183">
        <v>0</v>
      </c>
      <c r="E12" s="183"/>
      <c r="F12" s="183">
        <v>603299</v>
      </c>
      <c r="G12" s="183">
        <f>ت.كهربائيه1!B14+ت.كهربائيه1!D14+ت.كهربائيه1!F14+ت.كهربائيه1!H14+ت.كهربائيه2!B12+ت.كهربائيه2!D12</f>
        <v>102771</v>
      </c>
      <c r="H12" s="183">
        <f>ت.كهربائيه1!C14+ت.كهربائيه1!E14+ت.كهربائيه1!G14+ت.كهربائيه1!I14+ت.كهربائيه2!C12+ت.كهربائيه2!E12+ت.كهربائيه2!F12</f>
        <v>1112647</v>
      </c>
      <c r="I12" s="294" t="s">
        <v>371</v>
      </c>
      <c r="K12" s="7"/>
    </row>
    <row r="13" spans="1:11" s="447" customFormat="1" ht="15" customHeight="1" x14ac:dyDescent="0.2">
      <c r="A13" s="179" t="s">
        <v>4</v>
      </c>
      <c r="B13" s="182">
        <v>40201</v>
      </c>
      <c r="C13" s="182">
        <f>B13*4</f>
        <v>160804</v>
      </c>
      <c r="D13" s="182">
        <v>20885</v>
      </c>
      <c r="E13" s="182">
        <f>D13*170</f>
        <v>3550450</v>
      </c>
      <c r="F13" s="182">
        <v>19255787</v>
      </c>
      <c r="G13" s="182">
        <f>ت.كهربائيه1!B15+ت.كهربائيه1!D15+ت.كهربائيه1!F15+ت.كهربائيه1!H15+ت.كهربائيه2!B13+ت.كهربائيه2!D13</f>
        <v>2463551</v>
      </c>
      <c r="H13" s="182">
        <f>ت.كهربائيه1!C15+ت.كهربائيه1!E15+ت.كهربائيه1!G15+ت.كهربائيه1!I15+ت.كهربائيه2!C13+ت.كهربائيه2!E13+ت.كهربائيه2!F13</f>
        <v>37814261</v>
      </c>
      <c r="I13" s="293" t="s">
        <v>16</v>
      </c>
    </row>
    <row r="14" spans="1:11" ht="15" customHeight="1" x14ac:dyDescent="0.2">
      <c r="A14" s="292" t="s">
        <v>5</v>
      </c>
      <c r="B14" s="290">
        <v>4388</v>
      </c>
      <c r="C14" s="290">
        <f>B14*4</f>
        <v>17552</v>
      </c>
      <c r="D14" s="290">
        <v>0</v>
      </c>
      <c r="E14" s="290">
        <f>D14*140</f>
        <v>0</v>
      </c>
      <c r="F14" s="290">
        <v>2704569</v>
      </c>
      <c r="G14" s="183">
        <f>ت.كهربائيه1!B16+ت.كهربائيه1!D16+ت.كهربائيه1!F16+ت.كهربائيه1!H16+ت.كهربائيه2!B14+ت.كهربائيه2!D14</f>
        <v>358085</v>
      </c>
      <c r="H14" s="183">
        <f>ت.كهربائيه1!C16+ت.كهربائيه1!E16+ت.كهربائيه1!G16+ت.كهربائيه1!I16+ت.كهربائيه2!C14+ت.كهربائيه2!E14+ت.كهربائيه2!F14</f>
        <v>4698990</v>
      </c>
      <c r="I14" s="295" t="s">
        <v>23</v>
      </c>
      <c r="K14" s="7"/>
    </row>
    <row r="15" spans="1:11" s="447" customFormat="1" ht="15" customHeight="1" x14ac:dyDescent="0.2">
      <c r="A15" s="179" t="s">
        <v>6</v>
      </c>
      <c r="B15" s="182">
        <v>5197</v>
      </c>
      <c r="C15" s="182">
        <f>B16*5</f>
        <v>20705</v>
      </c>
      <c r="D15" s="182">
        <v>1001</v>
      </c>
      <c r="E15" s="182">
        <f>D15*150</f>
        <v>150150</v>
      </c>
      <c r="F15" s="182">
        <v>123042</v>
      </c>
      <c r="G15" s="182">
        <f>ت.كهربائيه1!B17+ت.كهربائيه1!D17+ت.كهربائيه1!F17+ت.كهربائيه1!H17+ت.كهربائيه2!B15+ت.كهربائيه2!D15</f>
        <v>217670</v>
      </c>
      <c r="H15" s="182">
        <f>ت.كهربائيه1!C17+ت.كهربائيه1!E17+ت.كهربائيه1!G17+ت.كهربائيه1!I17+ت.كهربائيه2!C15+ت.كهربائيه2!E15+ت.كهربائيه2!F15</f>
        <v>2256288</v>
      </c>
      <c r="I15" s="293" t="s">
        <v>24</v>
      </c>
    </row>
    <row r="16" spans="1:11" ht="15" customHeight="1" x14ac:dyDescent="0.2">
      <c r="A16" s="292" t="s">
        <v>11</v>
      </c>
      <c r="B16" s="290">
        <v>4141</v>
      </c>
      <c r="C16" s="290">
        <f>B16*3</f>
        <v>12423</v>
      </c>
      <c r="D16" s="290">
        <v>0</v>
      </c>
      <c r="E16" s="290">
        <f>D16*150</f>
        <v>0</v>
      </c>
      <c r="F16" s="290">
        <v>6985</v>
      </c>
      <c r="G16" s="183">
        <f>ت.كهربائيه1!B18+ت.كهربائيه1!D18+ت.كهربائيه1!F18+ت.كهربائيه1!H18+ت.كهربائيه2!B16+ت.كهربائيه2!D16</f>
        <v>296610</v>
      </c>
      <c r="H16" s="183">
        <f>ت.كهربائيه1!C18+ت.كهربائيه1!E18+ت.كهربائيه1!G18+ت.كهربائيه1!I18+ت.كهربائيه2!C16+ت.كهربائيه2!E16+ت.كهربائيه2!F16</f>
        <v>1594881</v>
      </c>
      <c r="I16" s="295" t="s">
        <v>21</v>
      </c>
      <c r="K16" s="7"/>
    </row>
    <row r="17" spans="1:12" s="447" customFormat="1" ht="15.75" customHeight="1" x14ac:dyDescent="0.2">
      <c r="A17" s="179" t="s">
        <v>2</v>
      </c>
      <c r="B17" s="182">
        <v>1707</v>
      </c>
      <c r="C17" s="182">
        <f>B17*4</f>
        <v>6828</v>
      </c>
      <c r="D17" s="182">
        <v>0</v>
      </c>
      <c r="E17" s="182">
        <f>D17*100</f>
        <v>0</v>
      </c>
      <c r="F17" s="182">
        <v>576198</v>
      </c>
      <c r="G17" s="182">
        <f>ت.كهربائيه1!B19+ت.كهربائيه1!D19+ت.كهربائيه1!F19+ت.كهربائيه1!H19+ت.كهربائيه2!B17+ت.كهربائيه2!D17</f>
        <v>186215</v>
      </c>
      <c r="H17" s="182">
        <f>ت.كهربائيه1!C19+ت.كهربائيه1!E19+ت.كهربائيه1!G19+ت.كهربائيه1!I19+ت.كهربائيه2!C17+ت.كهربائيه2!E17+ت.كهربائيه2!F17</f>
        <v>1413397</v>
      </c>
      <c r="I17" s="293" t="s">
        <v>14</v>
      </c>
    </row>
    <row r="18" spans="1:12" ht="15" customHeight="1" x14ac:dyDescent="0.2">
      <c r="A18" s="292" t="s">
        <v>7</v>
      </c>
      <c r="B18" s="290">
        <v>6600</v>
      </c>
      <c r="C18" s="290">
        <f>B18*3</f>
        <v>19800</v>
      </c>
      <c r="D18" s="290">
        <v>12095</v>
      </c>
      <c r="E18" s="290">
        <f>D18*147</f>
        <v>1777965</v>
      </c>
      <c r="F18" s="290">
        <v>662632</v>
      </c>
      <c r="G18" s="183">
        <f>ت.كهربائيه1!B20+ت.كهربائيه1!D20+ت.كهربائيه1!F20+ت.كهربائيه1!H20+ت.كهربائيه2!B18+ت.كهربائيه2!D18</f>
        <v>428244</v>
      </c>
      <c r="H18" s="183">
        <f>ت.كهربائيه1!C20+ت.كهربائيه1!E20+ت.كهربائيه1!G20+ت.كهربائيه1!I20+ت.كهربائيه2!C18+ت.كهربائيه2!E18+ت.كهربائيه2!F18</f>
        <v>5057166</v>
      </c>
      <c r="I18" s="295" t="s">
        <v>17</v>
      </c>
      <c r="K18" s="7"/>
    </row>
    <row r="19" spans="1:12" s="447" customFormat="1" ht="15" customHeight="1" x14ac:dyDescent="0.2">
      <c r="A19" s="179" t="s">
        <v>8</v>
      </c>
      <c r="B19" s="182">
        <v>2398</v>
      </c>
      <c r="C19" s="182">
        <f>B19*3</f>
        <v>7194</v>
      </c>
      <c r="D19" s="182">
        <v>0</v>
      </c>
      <c r="E19" s="182">
        <f>D19*150</f>
        <v>0</v>
      </c>
      <c r="F19" s="182">
        <v>25480</v>
      </c>
      <c r="G19" s="182">
        <f>ت.كهربائيه1!B21+ت.كهربائيه1!D21+ت.كهربائيه1!F21+ت.كهربائيه1!H21+ت.كهربائيه2!B19+ت.كهربائيه2!D19</f>
        <v>148578</v>
      </c>
      <c r="H19" s="182">
        <f>ت.كهربائيه1!C21+ت.كهربائيه1!E21+ت.كهربائيه1!G21+ت.كهربائيه1!I21+ت.كهربائيه2!C19+ت.كهربائيه2!E19+ت.كهربائيه2!F19</f>
        <v>957742</v>
      </c>
      <c r="I19" s="293" t="s">
        <v>18</v>
      </c>
    </row>
    <row r="20" spans="1:12" ht="15" customHeight="1" x14ac:dyDescent="0.2">
      <c r="A20" s="292" t="s">
        <v>9</v>
      </c>
      <c r="B20" s="290">
        <v>2951</v>
      </c>
      <c r="C20" s="290">
        <f>B20*3</f>
        <v>8853</v>
      </c>
      <c r="D20" s="290">
        <v>0</v>
      </c>
      <c r="E20" s="290">
        <f>D20*160</f>
        <v>0</v>
      </c>
      <c r="F20" s="290">
        <v>315057</v>
      </c>
      <c r="G20" s="183">
        <f>ت.كهربائيه1!B22+ت.كهربائيه1!D22+ت.كهربائيه1!F22+ت.كهربائيه1!H22+ت.كهربائيه2!B20+ت.كهربائيه2!D20</f>
        <v>150314</v>
      </c>
      <c r="H20" s="183">
        <f>ت.كهربائيه1!C22+ت.كهربائيه1!E22+ت.كهربائيه1!G22+ت.كهربائيه1!I22+ت.كهربائيه2!C20+ت.كهربائيه2!E20+ت.كهربائيه2!F20</f>
        <v>1229175</v>
      </c>
      <c r="I20" s="295" t="s">
        <v>19</v>
      </c>
      <c r="K20" s="7"/>
    </row>
    <row r="21" spans="1:12" s="447" customFormat="1" ht="15" customHeight="1" x14ac:dyDescent="0.2">
      <c r="A21" s="179" t="s">
        <v>10</v>
      </c>
      <c r="B21" s="182">
        <v>6713</v>
      </c>
      <c r="C21" s="182">
        <f>B21*5</f>
        <v>33565</v>
      </c>
      <c r="D21" s="182">
        <v>0</v>
      </c>
      <c r="E21" s="182">
        <f>D21*140</f>
        <v>0</v>
      </c>
      <c r="F21" s="182">
        <v>0</v>
      </c>
      <c r="G21" s="182">
        <f>ت.كهربائيه1!B23+ت.كهربائيه1!D23+ت.كهربائيه1!F23+ت.كهربائيه1!H23+ت.كهربائيه2!B21+ت.كهربائيه2!D21</f>
        <v>365372</v>
      </c>
      <c r="H21" s="182">
        <f>ت.كهربائيه1!C23+ت.كهربائيه1!E23+ت.كهربائيه1!G23+ت.كهربائيه1!I23+ت.كهربائيه2!C21+ت.كهربائيه2!E21+ت.كهربائيه2!F21</f>
        <v>1687846</v>
      </c>
      <c r="I21" s="293" t="s">
        <v>20</v>
      </c>
    </row>
    <row r="22" spans="1:12" ht="15" customHeight="1" x14ac:dyDescent="0.2">
      <c r="A22" s="292" t="s">
        <v>12</v>
      </c>
      <c r="B22" s="290">
        <v>2143</v>
      </c>
      <c r="C22" s="290">
        <f>B22*4</f>
        <v>8572</v>
      </c>
      <c r="D22" s="290">
        <v>0</v>
      </c>
      <c r="E22" s="290">
        <f>D22*140</f>
        <v>0</v>
      </c>
      <c r="F22" s="290">
        <v>119944</v>
      </c>
      <c r="G22" s="183">
        <f>ت.كهربائيه1!B24+ت.كهربائيه1!D24+ت.كهربائيه1!F24+ت.كهربائيه1!H24+ت.كهربائيه2!B22+ت.كهربائيه2!D22</f>
        <v>98242</v>
      </c>
      <c r="H22" s="183">
        <f>ت.كهربائيه1!C24+ت.كهربائيه1!E24+ت.كهربائيه1!G24+ت.كهربائيه1!I24+ت.كهربائيه2!C22+ت.كهربائيه2!E22+ت.كهربائيه2!F22</f>
        <v>701771</v>
      </c>
      <c r="I22" s="295" t="s">
        <v>25</v>
      </c>
      <c r="K22" s="7"/>
    </row>
    <row r="23" spans="1:12" s="447" customFormat="1" ht="15" customHeight="1" thickBot="1" x14ac:dyDescent="0.25">
      <c r="A23" s="179" t="s">
        <v>13</v>
      </c>
      <c r="B23" s="182">
        <v>1122</v>
      </c>
      <c r="C23" s="182">
        <f>B23*4</f>
        <v>4488</v>
      </c>
      <c r="D23" s="182">
        <v>0</v>
      </c>
      <c r="E23" s="182">
        <f>D23*158</f>
        <v>0</v>
      </c>
      <c r="F23" s="182">
        <v>266888</v>
      </c>
      <c r="G23" s="182">
        <f>ت.كهربائيه1!B25+ت.كهربائيه1!D25+ت.كهربائيه1!F25+ت.كهربائيه1!H25+ت.كهربائيه2!B23+ت.كهربائيه2!D23</f>
        <v>319326</v>
      </c>
      <c r="H23" s="182">
        <f>ت.كهربائيه1!C25+ت.كهربائيه1!E25+ت.كهربائيه1!G25+ت.كهربائيه1!I25+ت.كهربائيه2!C23+ت.كهربائيه2!E23+ت.كهربائيه2!F23</f>
        <v>2548556</v>
      </c>
      <c r="I23" s="293" t="s">
        <v>22</v>
      </c>
    </row>
    <row r="24" spans="1:12" s="562" customFormat="1" ht="16.5" customHeight="1" thickBot="1" x14ac:dyDescent="0.25">
      <c r="A24" s="638" t="s">
        <v>0</v>
      </c>
      <c r="B24" s="639">
        <f t="shared" ref="B24:H24" si="0">SUM(B9:B23)</f>
        <v>86777</v>
      </c>
      <c r="C24" s="639">
        <f t="shared" si="0"/>
        <v>339556</v>
      </c>
      <c r="D24" s="639">
        <f t="shared" si="0"/>
        <v>34420</v>
      </c>
      <c r="E24" s="639">
        <f t="shared" si="0"/>
        <v>5544415</v>
      </c>
      <c r="F24" s="639">
        <f t="shared" si="0"/>
        <v>34043938</v>
      </c>
      <c r="G24" s="639">
        <f t="shared" si="0"/>
        <v>5896829</v>
      </c>
      <c r="H24" s="639">
        <f t="shared" si="0"/>
        <v>75148109</v>
      </c>
      <c r="I24" s="650" t="s">
        <v>1</v>
      </c>
    </row>
    <row r="25" spans="1:12" s="211" customFormat="1" ht="16.5" customHeight="1" x14ac:dyDescent="0.2">
      <c r="A25" s="862"/>
      <c r="B25" s="862"/>
      <c r="C25" s="862"/>
      <c r="D25" s="862"/>
      <c r="E25" s="862"/>
      <c r="F25" s="862"/>
      <c r="G25" s="862"/>
      <c r="H25" s="862"/>
      <c r="I25" s="862"/>
    </row>
    <row r="26" spans="1:12" ht="14.25" x14ac:dyDescent="0.2">
      <c r="C26" s="7"/>
      <c r="D26" s="7"/>
      <c r="E26" s="7"/>
      <c r="F26" s="7"/>
      <c r="H26" s="237"/>
      <c r="I26" s="258"/>
      <c r="J26" s="7"/>
      <c r="K26" s="7"/>
      <c r="L26" s="7"/>
    </row>
    <row r="27" spans="1:12" ht="15" x14ac:dyDescent="0.25">
      <c r="A27" s="880"/>
      <c r="B27" s="880"/>
      <c r="C27" s="7"/>
      <c r="D27" s="7"/>
      <c r="E27" s="7"/>
      <c r="F27" s="7"/>
      <c r="H27" s="7"/>
      <c r="I27" s="60"/>
      <c r="J27" s="7"/>
      <c r="K27" s="7"/>
      <c r="L27" s="82"/>
    </row>
  </sheetData>
  <mergeCells count="10">
    <mergeCell ref="H3:I3"/>
    <mergeCell ref="A27:B27"/>
    <mergeCell ref="A1:I1"/>
    <mergeCell ref="A2:I2"/>
    <mergeCell ref="A4:B4"/>
    <mergeCell ref="F4:H4"/>
    <mergeCell ref="C4:D4"/>
    <mergeCell ref="A25:I25"/>
    <mergeCell ref="G5:H5"/>
    <mergeCell ref="G6:H6"/>
  </mergeCells>
  <phoneticPr fontId="3" type="noConversion"/>
  <printOptions horizontalCentered="1" verticalCentered="1"/>
  <pageMargins left="0.23622047244094491" right="0.86" top="0.88" bottom="0.74803149606299213" header="0.87" footer="0.31496062992125984"/>
  <pageSetup orientation="landscape" verticalDpi="300" r:id="rId1"/>
  <headerFooter alignWithMargins="0">
    <oddFooter>&amp;C42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27"/>
  <sheetViews>
    <sheetView rightToLeft="1" view="pageLayout" zoomScaleSheetLayoutView="93" workbookViewId="0">
      <selection activeCell="L17" sqref="L17"/>
    </sheetView>
  </sheetViews>
  <sheetFormatPr defaultRowHeight="12.75" x14ac:dyDescent="0.2"/>
  <cols>
    <col min="1" max="1" width="9.42578125" customWidth="1"/>
    <col min="2" max="2" width="8.28515625" customWidth="1"/>
    <col min="3" max="3" width="10.85546875" customWidth="1"/>
    <col min="4" max="4" width="7.42578125" customWidth="1"/>
    <col min="5" max="5" width="11.5703125" customWidth="1"/>
    <col min="6" max="6" width="7.5703125" customWidth="1"/>
    <col min="7" max="7" width="8.28515625" customWidth="1"/>
    <col min="8" max="8" width="7.42578125" customWidth="1"/>
    <col min="9" max="9" width="13.140625" customWidth="1"/>
    <col min="10" max="10" width="10.28515625" customWidth="1"/>
    <col min="11" max="11" width="12.42578125" customWidth="1"/>
    <col min="12" max="12" width="14" customWidth="1"/>
    <col min="13" max="13" width="0.28515625" hidden="1" customWidth="1"/>
    <col min="14" max="14" width="0" hidden="1" customWidth="1"/>
    <col min="15" max="15" width="0.28515625" hidden="1" customWidth="1"/>
    <col min="16" max="16" width="0.140625" hidden="1" customWidth="1"/>
    <col min="17" max="17" width="0" hidden="1" customWidth="1"/>
    <col min="18" max="18" width="0.5703125" hidden="1" customWidth="1"/>
  </cols>
  <sheetData>
    <row r="1" spans="1:21" ht="15" x14ac:dyDescent="0.2">
      <c r="A1" s="910" t="s">
        <v>433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</row>
    <row r="2" spans="1:21" ht="15" x14ac:dyDescent="0.2">
      <c r="A2" s="911" t="s">
        <v>440</v>
      </c>
      <c r="B2" s="911"/>
      <c r="C2" s="911"/>
      <c r="D2" s="911"/>
      <c r="E2" s="911"/>
      <c r="F2" s="911"/>
      <c r="G2" s="911"/>
      <c r="H2" s="911"/>
      <c r="I2" s="911"/>
      <c r="J2" s="911"/>
      <c r="K2" s="911"/>
      <c r="L2" s="911"/>
    </row>
    <row r="3" spans="1:21" s="7" customFormat="1" ht="15.75" thickBot="1" x14ac:dyDescent="0.3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848" t="s">
        <v>223</v>
      </c>
      <c r="L3" s="848"/>
    </row>
    <row r="4" spans="1:21" s="4" customFormat="1" ht="18" customHeight="1" thickBot="1" x14ac:dyDescent="0.3">
      <c r="A4" s="912" t="s">
        <v>483</v>
      </c>
      <c r="B4" s="912"/>
      <c r="C4" s="912" t="s">
        <v>182</v>
      </c>
      <c r="D4" s="912"/>
      <c r="E4" s="912"/>
      <c r="F4" s="27"/>
      <c r="G4" s="27"/>
      <c r="H4" s="898" t="s">
        <v>356</v>
      </c>
      <c r="I4" s="898"/>
      <c r="J4" s="898"/>
      <c r="K4" s="898"/>
      <c r="L4" s="190" t="s">
        <v>347</v>
      </c>
      <c r="M4"/>
      <c r="N4"/>
      <c r="O4"/>
      <c r="P4"/>
      <c r="Q4"/>
      <c r="R4"/>
      <c r="S4"/>
      <c r="T4"/>
      <c r="U4"/>
    </row>
    <row r="5" spans="1:21" s="3" customFormat="1" ht="15" customHeight="1" x14ac:dyDescent="0.25">
      <c r="A5" s="81"/>
      <c r="B5" s="909" t="s">
        <v>254</v>
      </c>
      <c r="C5" s="909"/>
      <c r="D5" s="909" t="s">
        <v>253</v>
      </c>
      <c r="E5" s="909"/>
      <c r="F5" s="909" t="s">
        <v>251</v>
      </c>
      <c r="G5" s="909"/>
      <c r="H5" s="200" t="s">
        <v>57</v>
      </c>
      <c r="I5" s="199"/>
      <c r="J5" s="198" t="s">
        <v>49</v>
      </c>
      <c r="K5" s="198"/>
      <c r="L5" s="81"/>
      <c r="M5"/>
      <c r="N5"/>
      <c r="O5"/>
      <c r="P5"/>
      <c r="Q5"/>
      <c r="R5"/>
      <c r="S5"/>
      <c r="T5"/>
      <c r="U5"/>
    </row>
    <row r="6" spans="1:21" s="3" customFormat="1" ht="15" customHeight="1" x14ac:dyDescent="0.25">
      <c r="A6" s="44"/>
      <c r="B6" s="907" t="s">
        <v>310</v>
      </c>
      <c r="C6" s="907"/>
      <c r="D6" s="908" t="s">
        <v>271</v>
      </c>
      <c r="E6" s="908"/>
      <c r="F6" s="907" t="s">
        <v>252</v>
      </c>
      <c r="G6" s="907"/>
      <c r="H6" s="72" t="s">
        <v>311</v>
      </c>
      <c r="I6" s="72"/>
      <c r="J6" s="191" t="s">
        <v>312</v>
      </c>
      <c r="K6" s="189"/>
      <c r="L6" s="44"/>
      <c r="M6"/>
      <c r="N6"/>
      <c r="O6"/>
      <c r="P6"/>
      <c r="Q6"/>
      <c r="R6"/>
      <c r="S6"/>
      <c r="T6"/>
      <c r="U6"/>
    </row>
    <row r="7" spans="1:21" s="659" customFormat="1" ht="15" customHeight="1" thickBot="1" x14ac:dyDescent="0.25">
      <c r="A7" s="655"/>
      <c r="B7" s="655" t="s">
        <v>27</v>
      </c>
      <c r="C7" s="655" t="s">
        <v>246</v>
      </c>
      <c r="D7" s="655" t="s">
        <v>27</v>
      </c>
      <c r="E7" s="656" t="s">
        <v>246</v>
      </c>
      <c r="F7" s="655" t="s">
        <v>27</v>
      </c>
      <c r="G7" s="655" t="s">
        <v>246</v>
      </c>
      <c r="H7" s="657" t="s">
        <v>27</v>
      </c>
      <c r="I7" s="657" t="s">
        <v>246</v>
      </c>
      <c r="J7" s="655" t="s">
        <v>27</v>
      </c>
      <c r="K7" s="655" t="s">
        <v>246</v>
      </c>
      <c r="L7" s="658"/>
      <c r="M7" s="211"/>
      <c r="N7" s="211"/>
      <c r="O7" s="211"/>
      <c r="P7" s="211"/>
      <c r="Q7" s="211"/>
      <c r="R7" s="211"/>
      <c r="S7" s="211"/>
      <c r="T7" s="211"/>
      <c r="U7" s="211"/>
    </row>
    <row r="8" spans="1:21" s="211" customFormat="1" ht="15" customHeight="1" thickTop="1" thickBot="1" x14ac:dyDescent="0.25">
      <c r="A8" s="651" t="s">
        <v>52</v>
      </c>
      <c r="B8" s="652" t="s">
        <v>139</v>
      </c>
      <c r="C8" s="652" t="s">
        <v>29</v>
      </c>
      <c r="D8" s="652" t="s">
        <v>139</v>
      </c>
      <c r="E8" s="652" t="s">
        <v>29</v>
      </c>
      <c r="F8" s="652" t="s">
        <v>139</v>
      </c>
      <c r="G8" s="652" t="s">
        <v>29</v>
      </c>
      <c r="H8" s="653" t="s">
        <v>139</v>
      </c>
      <c r="I8" s="653" t="s">
        <v>29</v>
      </c>
      <c r="J8" s="651" t="s">
        <v>139</v>
      </c>
      <c r="K8" s="651" t="s">
        <v>29</v>
      </c>
      <c r="L8" s="654" t="s">
        <v>26</v>
      </c>
    </row>
    <row r="9" spans="1:21" s="447" customFormat="1" ht="15" customHeight="1" thickTop="1" x14ac:dyDescent="0.25">
      <c r="A9" s="660" t="s">
        <v>395</v>
      </c>
      <c r="B9" s="661">
        <v>90</v>
      </c>
      <c r="C9" s="661">
        <f>B9*58</f>
        <v>5220</v>
      </c>
      <c r="D9" s="661">
        <v>25</v>
      </c>
      <c r="E9" s="661">
        <f>D9*200</f>
        <v>5000</v>
      </c>
      <c r="F9" s="661">
        <v>87</v>
      </c>
      <c r="G9" s="661">
        <f>F9*35</f>
        <v>3045</v>
      </c>
      <c r="H9" s="662">
        <v>314</v>
      </c>
      <c r="I9" s="662">
        <f>H9*15</f>
        <v>4710</v>
      </c>
      <c r="J9" s="661">
        <v>34</v>
      </c>
      <c r="K9" s="661">
        <f>J9*25</f>
        <v>850</v>
      </c>
      <c r="L9" s="663" t="s">
        <v>397</v>
      </c>
      <c r="M9" s="664"/>
    </row>
    <row r="10" spans="1:21" s="7" customFormat="1" ht="15" customHeight="1" x14ac:dyDescent="0.25">
      <c r="A10" s="181" t="s">
        <v>30</v>
      </c>
      <c r="B10" s="196">
        <v>1143</v>
      </c>
      <c r="C10" s="196">
        <f>B10*60</f>
        <v>68580</v>
      </c>
      <c r="D10" s="196">
        <v>355</v>
      </c>
      <c r="E10" s="196">
        <f>D10*198</f>
        <v>70290</v>
      </c>
      <c r="F10" s="196">
        <v>1113</v>
      </c>
      <c r="G10" s="196">
        <f>F10*25</f>
        <v>27825</v>
      </c>
      <c r="H10" s="197">
        <v>2907</v>
      </c>
      <c r="I10" s="197">
        <f>H10*15</f>
        <v>43605</v>
      </c>
      <c r="J10" s="196">
        <v>305</v>
      </c>
      <c r="K10" s="196">
        <f>J10*20</f>
        <v>6100</v>
      </c>
      <c r="L10" s="294" t="s">
        <v>31</v>
      </c>
      <c r="M10" s="423"/>
    </row>
    <row r="11" spans="1:21" s="447" customFormat="1" ht="15" customHeight="1" x14ac:dyDescent="0.25">
      <c r="A11" s="179" t="s">
        <v>3</v>
      </c>
      <c r="B11" s="194">
        <v>1587</v>
      </c>
      <c r="C11" s="194">
        <f>B11*40</f>
        <v>63480</v>
      </c>
      <c r="D11" s="194">
        <v>954</v>
      </c>
      <c r="E11" s="194">
        <f>D11*170</f>
        <v>162180</v>
      </c>
      <c r="F11" s="194">
        <v>1753</v>
      </c>
      <c r="G11" s="194">
        <f t="shared" ref="G11:G12" si="0">F11*25</f>
        <v>43825</v>
      </c>
      <c r="H11" s="195">
        <v>4368</v>
      </c>
      <c r="I11" s="195">
        <f>H11*10</f>
        <v>43680</v>
      </c>
      <c r="J11" s="194">
        <v>243</v>
      </c>
      <c r="K11" s="194">
        <f>J11*20</f>
        <v>4860</v>
      </c>
      <c r="L11" s="293" t="s">
        <v>15</v>
      </c>
      <c r="M11" s="664"/>
    </row>
    <row r="12" spans="1:21" ht="15" customHeight="1" x14ac:dyDescent="0.25">
      <c r="A12" s="181" t="s">
        <v>381</v>
      </c>
      <c r="B12" s="196">
        <v>359</v>
      </c>
      <c r="C12" s="196">
        <f>B12*60</f>
        <v>21540</v>
      </c>
      <c r="D12" s="196">
        <v>138</v>
      </c>
      <c r="E12" s="196">
        <f>D12*160</f>
        <v>22080</v>
      </c>
      <c r="F12" s="196">
        <v>327</v>
      </c>
      <c r="G12" s="196">
        <f t="shared" si="0"/>
        <v>8175</v>
      </c>
      <c r="H12" s="197">
        <v>901</v>
      </c>
      <c r="I12" s="197">
        <f>H12*15</f>
        <v>13515</v>
      </c>
      <c r="J12" s="196">
        <v>1</v>
      </c>
      <c r="K12" s="196">
        <f>J12*25</f>
        <v>25</v>
      </c>
      <c r="L12" s="294" t="s">
        <v>371</v>
      </c>
      <c r="M12" s="423"/>
      <c r="N12" s="7"/>
      <c r="O12" s="7"/>
    </row>
    <row r="13" spans="1:21" s="447" customFormat="1" ht="15" customHeight="1" x14ac:dyDescent="0.25">
      <c r="A13" s="179" t="s">
        <v>4</v>
      </c>
      <c r="B13" s="194">
        <v>7462</v>
      </c>
      <c r="C13" s="194">
        <f>B13*48</f>
        <v>358176</v>
      </c>
      <c r="D13" s="194">
        <v>5650</v>
      </c>
      <c r="E13" s="194">
        <f>D13*177</f>
        <v>1000050</v>
      </c>
      <c r="F13" s="194">
        <v>7235</v>
      </c>
      <c r="G13" s="194">
        <f>F13*35</f>
        <v>253225</v>
      </c>
      <c r="H13" s="195">
        <v>16197</v>
      </c>
      <c r="I13" s="195">
        <f>H13*15</f>
        <v>242955</v>
      </c>
      <c r="J13" s="194">
        <v>12611</v>
      </c>
      <c r="K13" s="194">
        <f>J13*25</f>
        <v>315275</v>
      </c>
      <c r="L13" s="293" t="s">
        <v>16</v>
      </c>
      <c r="M13" s="664"/>
    </row>
    <row r="14" spans="1:21" ht="15" customHeight="1" x14ac:dyDescent="0.25">
      <c r="A14" s="292" t="s">
        <v>5</v>
      </c>
      <c r="B14" s="296">
        <v>1671</v>
      </c>
      <c r="C14" s="296">
        <f>B14*45</f>
        <v>75195</v>
      </c>
      <c r="D14" s="296">
        <v>312</v>
      </c>
      <c r="E14" s="296">
        <f>D14*150</f>
        <v>46800</v>
      </c>
      <c r="F14" s="296">
        <v>1050</v>
      </c>
      <c r="G14" s="296">
        <f>F14*37</f>
        <v>38850</v>
      </c>
      <c r="H14" s="299">
        <v>2546</v>
      </c>
      <c r="I14" s="299">
        <f>H14*12</f>
        <v>30552</v>
      </c>
      <c r="J14" s="296">
        <v>953</v>
      </c>
      <c r="K14" s="296">
        <f>J14*25</f>
        <v>23825</v>
      </c>
      <c r="L14" s="295" t="s">
        <v>23</v>
      </c>
      <c r="M14" s="423"/>
      <c r="N14" s="7"/>
      <c r="O14" s="7"/>
    </row>
    <row r="15" spans="1:21" s="447" customFormat="1" ht="17.25" customHeight="1" x14ac:dyDescent="0.25">
      <c r="A15" s="179" t="s">
        <v>6</v>
      </c>
      <c r="B15" s="194">
        <v>1294</v>
      </c>
      <c r="C15" s="194">
        <f>B15*50</f>
        <v>64700</v>
      </c>
      <c r="D15" s="194">
        <v>222</v>
      </c>
      <c r="E15" s="194">
        <f>D15*170</f>
        <v>37740</v>
      </c>
      <c r="F15" s="194">
        <v>1278</v>
      </c>
      <c r="G15" s="194">
        <f>F15*35</f>
        <v>44730</v>
      </c>
      <c r="H15" s="195">
        <v>1961</v>
      </c>
      <c r="I15" s="195">
        <f>H15*10</f>
        <v>19610</v>
      </c>
      <c r="J15" s="194">
        <v>93</v>
      </c>
      <c r="K15" s="194">
        <f>J15*20</f>
        <v>1860</v>
      </c>
      <c r="L15" s="293" t="s">
        <v>24</v>
      </c>
      <c r="M15" s="664"/>
    </row>
    <row r="16" spans="1:21" s="211" customFormat="1" ht="14.25" customHeight="1" x14ac:dyDescent="0.25">
      <c r="A16" s="292" t="s">
        <v>11</v>
      </c>
      <c r="B16" s="296">
        <v>1317</v>
      </c>
      <c r="C16" s="296">
        <f>B16*55</f>
        <v>72435</v>
      </c>
      <c r="D16" s="296">
        <v>125</v>
      </c>
      <c r="E16" s="296">
        <f>D16*130</f>
        <v>16250</v>
      </c>
      <c r="F16" s="296">
        <v>1244</v>
      </c>
      <c r="G16" s="296">
        <f>F16*20</f>
        <v>24880</v>
      </c>
      <c r="H16" s="299">
        <v>2912</v>
      </c>
      <c r="I16" s="299">
        <f>H16*10</f>
        <v>29120</v>
      </c>
      <c r="J16" s="296">
        <v>238</v>
      </c>
      <c r="K16" s="296">
        <f t="shared" ref="K16" si="1">J16*20</f>
        <v>4760</v>
      </c>
      <c r="L16" s="295" t="s">
        <v>21</v>
      </c>
      <c r="M16" s="665"/>
    </row>
    <row r="17" spans="1:13" s="447" customFormat="1" ht="22.5" customHeight="1" x14ac:dyDescent="0.25">
      <c r="A17" s="179" t="s">
        <v>2</v>
      </c>
      <c r="B17" s="194">
        <v>595</v>
      </c>
      <c r="C17" s="194">
        <f>B17*40</f>
        <v>23800</v>
      </c>
      <c r="D17" s="194">
        <v>94</v>
      </c>
      <c r="E17" s="194">
        <f>D17*130</f>
        <v>12220</v>
      </c>
      <c r="F17" s="194">
        <v>564</v>
      </c>
      <c r="G17" s="194">
        <f>F17*25</f>
        <v>14100</v>
      </c>
      <c r="H17" s="195">
        <v>1368</v>
      </c>
      <c r="I17" s="195">
        <f>H17*15</f>
        <v>20520</v>
      </c>
      <c r="J17" s="194">
        <v>0</v>
      </c>
      <c r="K17" s="194">
        <f>J17*15</f>
        <v>0</v>
      </c>
      <c r="L17" s="293" t="s">
        <v>14</v>
      </c>
      <c r="M17" s="664"/>
    </row>
    <row r="18" spans="1:13" s="211" customFormat="1" ht="15" customHeight="1" x14ac:dyDescent="0.25">
      <c r="A18" s="292" t="s">
        <v>7</v>
      </c>
      <c r="B18" s="296">
        <v>1509</v>
      </c>
      <c r="C18" s="296">
        <f>B18*35</f>
        <v>52815</v>
      </c>
      <c r="D18" s="296">
        <v>579</v>
      </c>
      <c r="E18" s="296">
        <f>D18*170</f>
        <v>98430</v>
      </c>
      <c r="F18" s="296">
        <v>1459</v>
      </c>
      <c r="G18" s="296">
        <f>F18*20</f>
        <v>29180</v>
      </c>
      <c r="H18" s="299">
        <v>3511</v>
      </c>
      <c r="I18" s="299">
        <f>H18*15</f>
        <v>52665</v>
      </c>
      <c r="J18" s="296">
        <v>1</v>
      </c>
      <c r="K18" s="296">
        <f>J18*20</f>
        <v>20</v>
      </c>
      <c r="L18" s="295" t="s">
        <v>17</v>
      </c>
      <c r="M18" s="665"/>
    </row>
    <row r="19" spans="1:13" s="447" customFormat="1" ht="15" customHeight="1" x14ac:dyDescent="0.25">
      <c r="A19" s="179" t="s">
        <v>8</v>
      </c>
      <c r="B19" s="194">
        <v>521</v>
      </c>
      <c r="C19" s="194">
        <f>B19*40</f>
        <v>20840</v>
      </c>
      <c r="D19" s="194">
        <v>0</v>
      </c>
      <c r="E19" s="194">
        <f>D19*120</f>
        <v>0</v>
      </c>
      <c r="F19" s="194">
        <v>473</v>
      </c>
      <c r="G19" s="194">
        <f>F19*20</f>
        <v>9460</v>
      </c>
      <c r="H19" s="195">
        <v>1432</v>
      </c>
      <c r="I19" s="195">
        <f>H19*10</f>
        <v>14320</v>
      </c>
      <c r="J19" s="194">
        <v>0</v>
      </c>
      <c r="K19" s="194">
        <f>J19*20</f>
        <v>0</v>
      </c>
      <c r="L19" s="293" t="s">
        <v>18</v>
      </c>
      <c r="M19" s="664"/>
    </row>
    <row r="20" spans="1:13" s="211" customFormat="1" ht="15" customHeight="1" x14ac:dyDescent="0.25">
      <c r="A20" s="292" t="s">
        <v>9</v>
      </c>
      <c r="B20" s="296">
        <v>449</v>
      </c>
      <c r="C20" s="296">
        <f>B20*50</f>
        <v>22450</v>
      </c>
      <c r="D20" s="296">
        <v>253</v>
      </c>
      <c r="E20" s="296">
        <f>D20*140</f>
        <v>35420</v>
      </c>
      <c r="F20" s="296">
        <v>488</v>
      </c>
      <c r="G20" s="296">
        <f>F20*25</f>
        <v>12200</v>
      </c>
      <c r="H20" s="299">
        <v>1387</v>
      </c>
      <c r="I20" s="299">
        <f>H20*10</f>
        <v>13870</v>
      </c>
      <c r="J20" s="296">
        <v>27</v>
      </c>
      <c r="K20" s="296">
        <f>J20*15</f>
        <v>405</v>
      </c>
      <c r="L20" s="295" t="s">
        <v>19</v>
      </c>
      <c r="M20" s="665"/>
    </row>
    <row r="21" spans="1:13" s="447" customFormat="1" ht="15" customHeight="1" x14ac:dyDescent="0.25">
      <c r="A21" s="179" t="s">
        <v>10</v>
      </c>
      <c r="B21" s="194">
        <v>1188</v>
      </c>
      <c r="C21" s="194">
        <f>B21*50</f>
        <v>59400</v>
      </c>
      <c r="D21" s="194">
        <v>463</v>
      </c>
      <c r="E21" s="194">
        <f>D21*150</f>
        <v>69450</v>
      </c>
      <c r="F21" s="194">
        <v>1287</v>
      </c>
      <c r="G21" s="194">
        <f>F21*45</f>
        <v>57915</v>
      </c>
      <c r="H21" s="195">
        <v>3050</v>
      </c>
      <c r="I21" s="195">
        <f>H21*15</f>
        <v>45750</v>
      </c>
      <c r="J21" s="194">
        <v>231</v>
      </c>
      <c r="K21" s="194">
        <f t="shared" ref="K21:K23" si="2">J21*15</f>
        <v>3465</v>
      </c>
      <c r="L21" s="293" t="s">
        <v>20</v>
      </c>
      <c r="M21" s="664"/>
    </row>
    <row r="22" spans="1:13" s="211" customFormat="1" ht="12.75" customHeight="1" x14ac:dyDescent="0.25">
      <c r="A22" s="292" t="s">
        <v>12</v>
      </c>
      <c r="B22" s="296">
        <v>779</v>
      </c>
      <c r="C22" s="296">
        <f>B22*45</f>
        <v>35055</v>
      </c>
      <c r="D22" s="296">
        <v>169</v>
      </c>
      <c r="E22" s="296">
        <f>D22*145</f>
        <v>24505</v>
      </c>
      <c r="F22" s="296">
        <v>427</v>
      </c>
      <c r="G22" s="296">
        <f t="shared" ref="G22:G23" si="3">F22*45</f>
        <v>19215</v>
      </c>
      <c r="H22" s="299">
        <v>1249</v>
      </c>
      <c r="I22" s="299">
        <f t="shared" ref="I22:I23" si="4">H22*15</f>
        <v>18735</v>
      </c>
      <c r="J22" s="296">
        <v>101</v>
      </c>
      <c r="K22" s="296">
        <f t="shared" si="2"/>
        <v>1515</v>
      </c>
      <c r="L22" s="295" t="s">
        <v>25</v>
      </c>
      <c r="M22" s="665"/>
    </row>
    <row r="23" spans="1:13" s="447" customFormat="1" ht="16.5" customHeight="1" thickBot="1" x14ac:dyDescent="0.3">
      <c r="A23" s="179" t="s">
        <v>13</v>
      </c>
      <c r="B23" s="194">
        <v>1526</v>
      </c>
      <c r="C23" s="194">
        <f>B23*55</f>
        <v>83930</v>
      </c>
      <c r="D23" s="194">
        <v>284</v>
      </c>
      <c r="E23" s="194">
        <f>D23*160</f>
        <v>45440</v>
      </c>
      <c r="F23" s="194">
        <v>1480</v>
      </c>
      <c r="G23" s="194">
        <f t="shared" si="3"/>
        <v>66600</v>
      </c>
      <c r="H23" s="195">
        <v>3760</v>
      </c>
      <c r="I23" s="195">
        <f t="shared" si="4"/>
        <v>56400</v>
      </c>
      <c r="J23" s="194">
        <v>0</v>
      </c>
      <c r="K23" s="194">
        <f t="shared" si="2"/>
        <v>0</v>
      </c>
      <c r="L23" s="293" t="s">
        <v>22</v>
      </c>
      <c r="M23" s="664"/>
    </row>
    <row r="24" spans="1:13" s="562" customFormat="1" ht="17.25" customHeight="1" thickBot="1" x14ac:dyDescent="0.25">
      <c r="A24" s="666" t="s">
        <v>0</v>
      </c>
      <c r="B24" s="667">
        <f t="shared" ref="B24:K24" si="5">SUM(B9:B23)</f>
        <v>21490</v>
      </c>
      <c r="C24" s="667">
        <f t="shared" si="5"/>
        <v>1027616</v>
      </c>
      <c r="D24" s="667">
        <f t="shared" si="5"/>
        <v>9623</v>
      </c>
      <c r="E24" s="667">
        <f t="shared" si="5"/>
        <v>1645855</v>
      </c>
      <c r="F24" s="667">
        <f t="shared" si="5"/>
        <v>20265</v>
      </c>
      <c r="G24" s="667">
        <f t="shared" si="5"/>
        <v>653225</v>
      </c>
      <c r="H24" s="667">
        <f t="shared" si="5"/>
        <v>47863</v>
      </c>
      <c r="I24" s="667">
        <f t="shared" si="5"/>
        <v>650007</v>
      </c>
      <c r="J24" s="667">
        <f t="shared" si="5"/>
        <v>14838</v>
      </c>
      <c r="K24" s="667">
        <f t="shared" si="5"/>
        <v>362960</v>
      </c>
      <c r="L24" s="668" t="s">
        <v>1</v>
      </c>
    </row>
    <row r="25" spans="1:13" s="7" customFormat="1" ht="17.25" customHeight="1" x14ac:dyDescent="0.2">
      <c r="A25" s="862"/>
      <c r="B25" s="862"/>
      <c r="C25" s="862"/>
      <c r="D25" s="862"/>
      <c r="E25" s="862"/>
      <c r="F25" s="862"/>
      <c r="G25" s="862"/>
      <c r="H25" s="862"/>
      <c r="I25" s="296"/>
      <c r="J25" s="296"/>
      <c r="K25" s="296"/>
      <c r="L25" s="297"/>
    </row>
    <row r="26" spans="1:13" ht="14.25" x14ac:dyDescent="0.2">
      <c r="C26" s="7"/>
      <c r="D26" s="7"/>
      <c r="E26" s="7"/>
      <c r="F26" s="7"/>
      <c r="G26" s="7"/>
      <c r="L26" s="258"/>
    </row>
    <row r="27" spans="1:13" ht="15" x14ac:dyDescent="0.25">
      <c r="A27" s="880"/>
      <c r="B27" s="880"/>
      <c r="C27" s="7"/>
      <c r="D27" s="7"/>
      <c r="E27" s="7"/>
      <c r="F27" s="7"/>
      <c r="G27" s="7"/>
      <c r="L27" s="60"/>
    </row>
  </sheetData>
  <mergeCells count="14">
    <mergeCell ref="A1:L1"/>
    <mergeCell ref="A2:L2"/>
    <mergeCell ref="B5:C5"/>
    <mergeCell ref="A4:B4"/>
    <mergeCell ref="H4:K4"/>
    <mergeCell ref="C4:E4"/>
    <mergeCell ref="D5:E5"/>
    <mergeCell ref="A25:H25"/>
    <mergeCell ref="K3:L3"/>
    <mergeCell ref="A27:B27"/>
    <mergeCell ref="B6:C6"/>
    <mergeCell ref="D6:E6"/>
    <mergeCell ref="F6:G6"/>
    <mergeCell ref="F5:G5"/>
  </mergeCells>
  <phoneticPr fontId="3" type="noConversion"/>
  <printOptions horizontalCentered="1" verticalCentered="1"/>
  <pageMargins left="0.85" right="0.62" top="1.03125E-2" bottom="0.98425196850393704" header="0.78740157480314998" footer="0.511811023622047"/>
  <pageSetup scale="99" orientation="landscape" verticalDpi="300" r:id="rId1"/>
  <headerFooter alignWithMargins="0">
    <oddFooter>&amp;C43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0"/>
  <sheetViews>
    <sheetView rightToLeft="1" view="pageLayout" zoomScaleSheetLayoutView="100" workbookViewId="0">
      <selection activeCell="A27" sqref="A27:B27"/>
    </sheetView>
  </sheetViews>
  <sheetFormatPr defaultRowHeight="12.75" x14ac:dyDescent="0.2"/>
  <cols>
    <col min="1" max="1" width="10.85546875" customWidth="1"/>
    <col min="2" max="2" width="13.85546875" customWidth="1"/>
    <col min="3" max="3" width="12.7109375" customWidth="1"/>
    <col min="4" max="4" width="12" customWidth="1"/>
    <col min="5" max="5" width="11.42578125" customWidth="1"/>
    <col min="6" max="6" width="11.140625" customWidth="1"/>
    <col min="7" max="7" width="12" customWidth="1"/>
    <col min="8" max="8" width="10.28515625" customWidth="1"/>
    <col min="9" max="9" width="8.42578125" customWidth="1"/>
    <col min="10" max="10" width="16.5703125" customWidth="1"/>
    <col min="11" max="11" width="20" customWidth="1"/>
  </cols>
  <sheetData>
    <row r="1" spans="1:13" ht="15" x14ac:dyDescent="0.2">
      <c r="A1" s="913" t="s">
        <v>433</v>
      </c>
      <c r="B1" s="913"/>
      <c r="C1" s="913"/>
      <c r="D1" s="913"/>
      <c r="E1" s="913"/>
      <c r="F1" s="913"/>
      <c r="G1" s="913"/>
      <c r="H1" s="913"/>
      <c r="I1" s="913"/>
      <c r="J1" s="913"/>
    </row>
    <row r="2" spans="1:13" s="7" customFormat="1" ht="15" x14ac:dyDescent="0.2">
      <c r="A2" s="885" t="s">
        <v>425</v>
      </c>
      <c r="B2" s="885"/>
      <c r="C2" s="885"/>
      <c r="D2" s="885"/>
      <c r="E2" s="885"/>
      <c r="F2" s="885"/>
      <c r="G2" s="885"/>
      <c r="H2" s="885"/>
      <c r="I2" s="885"/>
      <c r="J2" s="885"/>
    </row>
    <row r="3" spans="1:13" ht="15" x14ac:dyDescent="0.25">
      <c r="I3" s="848" t="s">
        <v>223</v>
      </c>
      <c r="J3" s="848"/>
    </row>
    <row r="4" spans="1:13" ht="21" customHeight="1" thickBot="1" x14ac:dyDescent="0.3">
      <c r="A4" s="916" t="s">
        <v>485</v>
      </c>
      <c r="B4" s="916"/>
      <c r="C4" s="915" t="s">
        <v>210</v>
      </c>
      <c r="D4" s="915"/>
      <c r="E4" s="915"/>
      <c r="F4" s="21"/>
      <c r="G4" s="21"/>
      <c r="H4" s="914"/>
      <c r="I4" s="914"/>
      <c r="J4" s="343" t="s">
        <v>347</v>
      </c>
    </row>
    <row r="5" spans="1:13" ht="29.25" customHeight="1" x14ac:dyDescent="0.25">
      <c r="A5" s="202"/>
      <c r="B5" s="204" t="s">
        <v>33</v>
      </c>
      <c r="C5" s="202"/>
      <c r="D5" s="204" t="s">
        <v>59</v>
      </c>
      <c r="E5" s="202"/>
      <c r="F5" s="917" t="s">
        <v>42</v>
      </c>
      <c r="G5" s="917"/>
      <c r="H5" s="204" t="s">
        <v>43</v>
      </c>
      <c r="I5" s="202"/>
      <c r="J5" s="203"/>
    </row>
    <row r="6" spans="1:13" ht="27" customHeight="1" x14ac:dyDescent="0.25">
      <c r="A6" s="151"/>
      <c r="B6" s="151" t="s">
        <v>307</v>
      </c>
      <c r="C6" s="151"/>
      <c r="D6" s="151" t="s">
        <v>313</v>
      </c>
      <c r="E6" s="151"/>
      <c r="F6" s="824" t="s">
        <v>357</v>
      </c>
      <c r="G6" s="824"/>
      <c r="H6" s="151" t="s">
        <v>179</v>
      </c>
      <c r="I6" s="151"/>
      <c r="J6" s="201"/>
    </row>
    <row r="7" spans="1:13" ht="15" customHeight="1" x14ac:dyDescent="0.25">
      <c r="A7" s="673"/>
      <c r="B7" s="674" t="s">
        <v>44</v>
      </c>
      <c r="C7" s="674" t="s">
        <v>246</v>
      </c>
      <c r="D7" s="674" t="s">
        <v>44</v>
      </c>
      <c r="E7" s="674" t="s">
        <v>246</v>
      </c>
      <c r="F7" s="674" t="s">
        <v>44</v>
      </c>
      <c r="G7" s="674" t="s">
        <v>246</v>
      </c>
      <c r="H7" s="674" t="s">
        <v>69</v>
      </c>
      <c r="I7" s="674" t="s">
        <v>246</v>
      </c>
      <c r="J7" s="75"/>
    </row>
    <row r="8" spans="1:13" s="677" customFormat="1" ht="15" customHeight="1" thickBot="1" x14ac:dyDescent="0.25">
      <c r="A8" s="675" t="s">
        <v>56</v>
      </c>
      <c r="B8" s="676" t="s">
        <v>45</v>
      </c>
      <c r="C8" s="676" t="s">
        <v>29</v>
      </c>
      <c r="D8" s="676" t="s">
        <v>45</v>
      </c>
      <c r="E8" s="676" t="s">
        <v>29</v>
      </c>
      <c r="F8" s="676" t="s">
        <v>45</v>
      </c>
      <c r="G8" s="676" t="s">
        <v>29</v>
      </c>
      <c r="H8" s="676" t="s">
        <v>203</v>
      </c>
      <c r="I8" s="676" t="s">
        <v>29</v>
      </c>
      <c r="J8" s="676" t="s">
        <v>26</v>
      </c>
    </row>
    <row r="9" spans="1:13" s="447" customFormat="1" ht="15" customHeight="1" x14ac:dyDescent="0.25">
      <c r="A9" s="193" t="s">
        <v>395</v>
      </c>
      <c r="B9" s="194">
        <v>14724</v>
      </c>
      <c r="C9" s="194">
        <f>B9*4</f>
        <v>58896</v>
      </c>
      <c r="D9" s="194">
        <v>1380</v>
      </c>
      <c r="E9" s="194">
        <f>D9*0</f>
        <v>0</v>
      </c>
      <c r="F9" s="194">
        <v>1020</v>
      </c>
      <c r="G9" s="194">
        <f>F9*7</f>
        <v>7140</v>
      </c>
      <c r="H9" s="195">
        <v>306</v>
      </c>
      <c r="I9" s="195">
        <f>H9*8</f>
        <v>2448</v>
      </c>
      <c r="J9" s="303" t="s">
        <v>397</v>
      </c>
      <c r="K9" s="664"/>
    </row>
    <row r="10" spans="1:13" s="7" customFormat="1" ht="15" customHeight="1" x14ac:dyDescent="0.25">
      <c r="A10" s="452" t="s">
        <v>30</v>
      </c>
      <c r="B10" s="196">
        <v>246520</v>
      </c>
      <c r="C10" s="196">
        <f>B10*3</f>
        <v>739560</v>
      </c>
      <c r="D10" s="196">
        <v>11231</v>
      </c>
      <c r="E10" s="196">
        <f>D10*8</f>
        <v>89848</v>
      </c>
      <c r="F10" s="196">
        <v>10217</v>
      </c>
      <c r="G10" s="196">
        <f>F10*6</f>
        <v>61302</v>
      </c>
      <c r="H10" s="197">
        <v>0</v>
      </c>
      <c r="I10" s="197">
        <f>H10*8</f>
        <v>0</v>
      </c>
      <c r="J10" s="304" t="s">
        <v>31</v>
      </c>
      <c r="K10" s="423"/>
    </row>
    <row r="11" spans="1:13" s="447" customFormat="1" ht="15" customHeight="1" x14ac:dyDescent="0.25">
      <c r="A11" s="193" t="s">
        <v>3</v>
      </c>
      <c r="B11" s="194">
        <v>235322</v>
      </c>
      <c r="C11" s="194">
        <f>B11*2</f>
        <v>470644</v>
      </c>
      <c r="D11" s="194">
        <v>17431</v>
      </c>
      <c r="E11" s="194">
        <f>D11*0</f>
        <v>0</v>
      </c>
      <c r="F11" s="194">
        <v>13873</v>
      </c>
      <c r="G11" s="194">
        <f>F11*6</f>
        <v>83238</v>
      </c>
      <c r="H11" s="195">
        <v>0</v>
      </c>
      <c r="I11" s="195">
        <f>H11*5</f>
        <v>0</v>
      </c>
      <c r="J11" s="303" t="s">
        <v>15</v>
      </c>
      <c r="K11" s="664"/>
    </row>
    <row r="12" spans="1:13" ht="15" customHeight="1" x14ac:dyDescent="0.25">
      <c r="A12" s="192" t="s">
        <v>381</v>
      </c>
      <c r="B12" s="196">
        <v>60931</v>
      </c>
      <c r="C12" s="196">
        <f>B12*2</f>
        <v>121862</v>
      </c>
      <c r="D12" s="196">
        <v>1803</v>
      </c>
      <c r="E12" s="196">
        <f>D12*0</f>
        <v>0</v>
      </c>
      <c r="F12" s="196">
        <v>2274</v>
      </c>
      <c r="G12" s="196">
        <f>F12*6</f>
        <v>13644</v>
      </c>
      <c r="H12" s="197">
        <v>0</v>
      </c>
      <c r="I12" s="197">
        <f>H12*4</f>
        <v>0</v>
      </c>
      <c r="J12" s="304" t="s">
        <v>371</v>
      </c>
      <c r="K12" s="423"/>
      <c r="M12" s="7"/>
    </row>
    <row r="13" spans="1:13" s="447" customFormat="1" ht="15" customHeight="1" x14ac:dyDescent="0.25">
      <c r="A13" s="193" t="s">
        <v>4</v>
      </c>
      <c r="B13" s="194">
        <v>1268871</v>
      </c>
      <c r="C13" s="194">
        <f>B13*5</f>
        <v>6344355</v>
      </c>
      <c r="D13" s="194">
        <v>104653</v>
      </c>
      <c r="E13" s="194">
        <f>D13*9</f>
        <v>941877</v>
      </c>
      <c r="F13" s="194">
        <v>58958</v>
      </c>
      <c r="G13" s="194">
        <f>F13*5</f>
        <v>294790</v>
      </c>
      <c r="H13" s="195">
        <v>80</v>
      </c>
      <c r="I13" s="195">
        <f>H13*5</f>
        <v>400</v>
      </c>
      <c r="J13" s="303" t="s">
        <v>16</v>
      </c>
      <c r="K13" s="664"/>
    </row>
    <row r="14" spans="1:13" ht="15" customHeight="1" x14ac:dyDescent="0.25">
      <c r="A14" s="298" t="s">
        <v>5</v>
      </c>
      <c r="B14" s="296">
        <v>193206</v>
      </c>
      <c r="C14" s="296">
        <f>B14*4</f>
        <v>772824</v>
      </c>
      <c r="D14" s="296">
        <v>8939</v>
      </c>
      <c r="E14" s="296">
        <f>D14*0</f>
        <v>0</v>
      </c>
      <c r="F14" s="296">
        <v>10765</v>
      </c>
      <c r="G14" s="296">
        <f>F14*6</f>
        <v>64590</v>
      </c>
      <c r="H14" s="299">
        <v>0</v>
      </c>
      <c r="I14" s="299">
        <f>H14*4</f>
        <v>0</v>
      </c>
      <c r="J14" s="305" t="s">
        <v>23</v>
      </c>
      <c r="K14" s="423"/>
      <c r="M14" s="7"/>
    </row>
    <row r="15" spans="1:13" s="447" customFormat="1" ht="15" customHeight="1" x14ac:dyDescent="0.25">
      <c r="A15" s="193" t="s">
        <v>6</v>
      </c>
      <c r="B15" s="194">
        <v>133251</v>
      </c>
      <c r="C15" s="194">
        <f>B15*2</f>
        <v>266502</v>
      </c>
      <c r="D15" s="194">
        <v>5186</v>
      </c>
      <c r="E15" s="194">
        <f>D15*0</f>
        <v>0</v>
      </c>
      <c r="F15" s="194">
        <v>5128</v>
      </c>
      <c r="G15" s="194">
        <f>F15*6</f>
        <v>30768</v>
      </c>
      <c r="H15" s="195">
        <v>1024</v>
      </c>
      <c r="I15" s="195">
        <f>H15*5</f>
        <v>5120</v>
      </c>
      <c r="J15" s="303" t="s">
        <v>24</v>
      </c>
      <c r="K15" s="664"/>
    </row>
    <row r="16" spans="1:13" ht="15" customHeight="1" x14ac:dyDescent="0.25">
      <c r="A16" s="298" t="s">
        <v>11</v>
      </c>
      <c r="B16" s="296">
        <v>176327</v>
      </c>
      <c r="C16" s="296">
        <f>B16*3</f>
        <v>528981</v>
      </c>
      <c r="D16" s="296">
        <v>12460</v>
      </c>
      <c r="E16" s="296">
        <f>D16*0</f>
        <v>0</v>
      </c>
      <c r="F16" s="296">
        <v>16734</v>
      </c>
      <c r="G16" s="296">
        <f>F16*4</f>
        <v>66936</v>
      </c>
      <c r="H16" s="299">
        <v>0</v>
      </c>
      <c r="I16" s="299">
        <f>H16*4</f>
        <v>0</v>
      </c>
      <c r="J16" s="305" t="s">
        <v>21</v>
      </c>
      <c r="K16" s="423"/>
      <c r="M16" s="7"/>
    </row>
    <row r="17" spans="1:13" s="447" customFormat="1" ht="15" customHeight="1" x14ac:dyDescent="0.25">
      <c r="A17" s="193" t="s">
        <v>2</v>
      </c>
      <c r="B17" s="194">
        <v>130135</v>
      </c>
      <c r="C17" s="194">
        <f>B17*4</f>
        <v>520540</v>
      </c>
      <c r="D17" s="194">
        <v>5146</v>
      </c>
      <c r="E17" s="194">
        <f>D17*8</f>
        <v>41168</v>
      </c>
      <c r="F17" s="194">
        <v>5805</v>
      </c>
      <c r="G17" s="194">
        <f>F17*3</f>
        <v>17415</v>
      </c>
      <c r="H17" s="195">
        <v>0</v>
      </c>
      <c r="I17" s="195">
        <f>H17*4</f>
        <v>0</v>
      </c>
      <c r="J17" s="303" t="s">
        <v>14</v>
      </c>
      <c r="K17" s="664"/>
    </row>
    <row r="18" spans="1:13" ht="15" customHeight="1" x14ac:dyDescent="0.25">
      <c r="A18" s="298" t="s">
        <v>7</v>
      </c>
      <c r="B18" s="296">
        <v>172056</v>
      </c>
      <c r="C18" s="296">
        <f>B18*4</f>
        <v>688224</v>
      </c>
      <c r="D18" s="296">
        <v>0</v>
      </c>
      <c r="E18" s="296">
        <f>D18*0</f>
        <v>0</v>
      </c>
      <c r="F18" s="296">
        <v>817</v>
      </c>
      <c r="G18" s="296">
        <f>F18*3</f>
        <v>2451</v>
      </c>
      <c r="H18" s="299">
        <v>11652</v>
      </c>
      <c r="I18" s="299">
        <f>H18*4</f>
        <v>46608</v>
      </c>
      <c r="J18" s="305" t="s">
        <v>17</v>
      </c>
      <c r="K18" s="423"/>
      <c r="M18" s="7"/>
    </row>
    <row r="19" spans="1:13" s="447" customFormat="1" ht="15" customHeight="1" x14ac:dyDescent="0.25">
      <c r="A19" s="193" t="s">
        <v>8</v>
      </c>
      <c r="B19" s="194">
        <v>91238</v>
      </c>
      <c r="C19" s="194">
        <f>B19*3</f>
        <v>273714</v>
      </c>
      <c r="D19" s="194">
        <v>5035</v>
      </c>
      <c r="E19" s="194">
        <f>D19*8</f>
        <v>40280</v>
      </c>
      <c r="F19" s="194">
        <v>1428</v>
      </c>
      <c r="G19" s="194">
        <f>F19*6</f>
        <v>8568</v>
      </c>
      <c r="H19" s="195">
        <v>0</v>
      </c>
      <c r="I19" s="195">
        <f t="shared" ref="I19:I20" si="0">H19*4</f>
        <v>0</v>
      </c>
      <c r="J19" s="303" t="s">
        <v>18</v>
      </c>
      <c r="K19" s="664"/>
    </row>
    <row r="20" spans="1:13" ht="15" customHeight="1" x14ac:dyDescent="0.25">
      <c r="A20" s="298" t="s">
        <v>9</v>
      </c>
      <c r="B20" s="296">
        <v>82178</v>
      </c>
      <c r="C20" s="296">
        <f>B20*3</f>
        <v>246534</v>
      </c>
      <c r="D20" s="296">
        <v>4885</v>
      </c>
      <c r="E20" s="296">
        <f>D20*0</f>
        <v>0</v>
      </c>
      <c r="F20" s="296">
        <v>4209</v>
      </c>
      <c r="G20" s="296">
        <f>F20*5</f>
        <v>21045</v>
      </c>
      <c r="H20" s="299">
        <v>0</v>
      </c>
      <c r="I20" s="299">
        <f t="shared" si="0"/>
        <v>0</v>
      </c>
      <c r="J20" s="305" t="s">
        <v>19</v>
      </c>
      <c r="K20" s="423"/>
      <c r="M20" s="7"/>
    </row>
    <row r="21" spans="1:13" s="447" customFormat="1" ht="15" customHeight="1" x14ac:dyDescent="0.25">
      <c r="A21" s="193" t="s">
        <v>10</v>
      </c>
      <c r="B21" s="194">
        <v>133465</v>
      </c>
      <c r="C21" s="194">
        <f>B21*4</f>
        <v>533860</v>
      </c>
      <c r="D21" s="194">
        <v>8730</v>
      </c>
      <c r="E21" s="194">
        <f>D21*0</f>
        <v>0</v>
      </c>
      <c r="F21" s="194">
        <v>4551</v>
      </c>
      <c r="G21" s="194">
        <f>F21*4</f>
        <v>18204</v>
      </c>
      <c r="H21" s="195">
        <v>0</v>
      </c>
      <c r="I21" s="195">
        <f>H21*4</f>
        <v>0</v>
      </c>
      <c r="J21" s="303" t="s">
        <v>20</v>
      </c>
      <c r="K21" s="664"/>
    </row>
    <row r="22" spans="1:13" ht="15" customHeight="1" x14ac:dyDescent="0.25">
      <c r="A22" s="298" t="s">
        <v>12</v>
      </c>
      <c r="B22" s="296">
        <v>61693</v>
      </c>
      <c r="C22" s="296">
        <f>B22*4</f>
        <v>246772</v>
      </c>
      <c r="D22" s="296">
        <v>1180</v>
      </c>
      <c r="E22" s="296">
        <f>D22*8</f>
        <v>9440</v>
      </c>
      <c r="F22" s="296">
        <v>328</v>
      </c>
      <c r="G22" s="296">
        <f>F22*5</f>
        <v>1640</v>
      </c>
      <c r="H22" s="299">
        <v>0</v>
      </c>
      <c r="I22" s="299">
        <f>H22*5</f>
        <v>0</v>
      </c>
      <c r="J22" s="305" t="s">
        <v>25</v>
      </c>
      <c r="K22" s="423"/>
      <c r="M22" s="7"/>
    </row>
    <row r="23" spans="1:13" s="447" customFormat="1" ht="15" customHeight="1" thickBot="1" x14ac:dyDescent="0.3">
      <c r="A23" s="193" t="s">
        <v>13</v>
      </c>
      <c r="B23" s="194">
        <v>163027</v>
      </c>
      <c r="C23" s="194">
        <f>B23*5</f>
        <v>815135</v>
      </c>
      <c r="D23" s="194">
        <v>13067</v>
      </c>
      <c r="E23" s="194">
        <f>D23*0</f>
        <v>0</v>
      </c>
      <c r="F23" s="194">
        <v>6493</v>
      </c>
      <c r="G23" s="194">
        <f>F23*4</f>
        <v>25972</v>
      </c>
      <c r="H23" s="195">
        <v>0</v>
      </c>
      <c r="I23" s="195">
        <f>H23*6</f>
        <v>0</v>
      </c>
      <c r="J23" s="669" t="s">
        <v>22</v>
      </c>
      <c r="K23" s="664"/>
    </row>
    <row r="24" spans="1:13" s="211" customFormat="1" ht="15.75" customHeight="1" thickBot="1" x14ac:dyDescent="0.25">
      <c r="A24" s="306" t="s">
        <v>0</v>
      </c>
      <c r="B24" s="678">
        <f t="shared" ref="B24:I24" si="1">SUM(B9:B23)</f>
        <v>3162944</v>
      </c>
      <c r="C24" s="678">
        <f t="shared" si="1"/>
        <v>12628403</v>
      </c>
      <c r="D24" s="678">
        <f t="shared" si="1"/>
        <v>201126</v>
      </c>
      <c r="E24" s="678">
        <f t="shared" si="1"/>
        <v>1122613</v>
      </c>
      <c r="F24" s="678">
        <f t="shared" si="1"/>
        <v>142600</v>
      </c>
      <c r="G24" s="678">
        <f t="shared" si="1"/>
        <v>717703</v>
      </c>
      <c r="H24" s="678">
        <f t="shared" si="1"/>
        <v>13062</v>
      </c>
      <c r="I24" s="678">
        <f t="shared" si="1"/>
        <v>54576</v>
      </c>
      <c r="J24" s="307" t="s">
        <v>1</v>
      </c>
    </row>
    <row r="25" spans="1:13" s="7" customFormat="1" ht="15.75" customHeight="1" thickTop="1" x14ac:dyDescent="0.2">
      <c r="A25" s="862"/>
      <c r="B25" s="862"/>
      <c r="C25" s="862"/>
      <c r="D25" s="862"/>
      <c r="E25" s="862"/>
      <c r="F25" s="862"/>
      <c r="G25" s="862"/>
      <c r="H25" s="862"/>
      <c r="I25" s="296"/>
      <c r="J25" s="302"/>
    </row>
    <row r="26" spans="1:13" ht="14.25" x14ac:dyDescent="0.2">
      <c r="C26" s="7"/>
      <c r="D26" s="7"/>
      <c r="E26" s="7"/>
      <c r="F26" s="7"/>
      <c r="G26" s="7"/>
      <c r="H26" s="7"/>
      <c r="I26" s="7"/>
      <c r="J26" s="258"/>
    </row>
    <row r="27" spans="1:13" ht="15" x14ac:dyDescent="0.25">
      <c r="A27" s="880"/>
      <c r="B27" s="880"/>
      <c r="C27" s="7"/>
      <c r="D27" s="7"/>
      <c r="E27" s="7"/>
      <c r="F27" s="7"/>
      <c r="G27" s="7"/>
      <c r="H27" s="7"/>
      <c r="I27" s="881"/>
      <c r="J27" s="881"/>
    </row>
    <row r="47" spans="2:5" x14ac:dyDescent="0.2">
      <c r="B47" s="6">
        <v>28665868451</v>
      </c>
      <c r="C47">
        <v>662900</v>
      </c>
      <c r="D47">
        <v>349230</v>
      </c>
      <c r="E47" s="6">
        <f t="shared" ref="E47:E60" si="2">B47+C47+D47</f>
        <v>28666880581</v>
      </c>
    </row>
    <row r="48" spans="2:5" x14ac:dyDescent="0.2">
      <c r="B48" s="6">
        <v>73047769925</v>
      </c>
      <c r="C48">
        <v>271660</v>
      </c>
      <c r="D48">
        <v>660120</v>
      </c>
      <c r="E48" s="6">
        <f t="shared" si="2"/>
        <v>73048701705</v>
      </c>
    </row>
    <row r="49" spans="2:5" x14ac:dyDescent="0.2">
      <c r="B49" s="6">
        <v>1400964851</v>
      </c>
      <c r="C49">
        <v>7681</v>
      </c>
      <c r="D49">
        <v>8346</v>
      </c>
      <c r="E49" s="6">
        <f t="shared" si="2"/>
        <v>1400980878</v>
      </c>
    </row>
    <row r="50" spans="2:5" x14ac:dyDescent="0.2">
      <c r="B50" s="6">
        <v>294236672924</v>
      </c>
      <c r="C50">
        <v>5874815</v>
      </c>
      <c r="D50">
        <v>4660640</v>
      </c>
      <c r="E50" s="6">
        <f t="shared" si="2"/>
        <v>294247208379</v>
      </c>
    </row>
    <row r="51" spans="2:5" x14ac:dyDescent="0.2">
      <c r="B51" s="6">
        <v>49144404744</v>
      </c>
      <c r="C51">
        <v>854940</v>
      </c>
      <c r="D51">
        <v>473742</v>
      </c>
      <c r="E51" s="6">
        <f t="shared" si="2"/>
        <v>49145733426</v>
      </c>
    </row>
    <row r="52" spans="2:5" x14ac:dyDescent="0.2">
      <c r="B52" s="6">
        <v>34523077995</v>
      </c>
      <c r="C52">
        <v>430740</v>
      </c>
      <c r="D52">
        <v>393666</v>
      </c>
      <c r="E52" s="6">
        <f t="shared" si="2"/>
        <v>34523902401</v>
      </c>
    </row>
    <row r="53" spans="2:5" x14ac:dyDescent="0.2">
      <c r="B53" s="6">
        <v>58423127945</v>
      </c>
      <c r="C53">
        <v>654035</v>
      </c>
      <c r="D53">
        <v>361837</v>
      </c>
      <c r="E53" s="6">
        <f t="shared" si="2"/>
        <v>58424143817</v>
      </c>
    </row>
    <row r="54" spans="2:5" x14ac:dyDescent="0.2">
      <c r="B54" s="6">
        <v>15330166967</v>
      </c>
      <c r="C54">
        <v>312500</v>
      </c>
      <c r="D54">
        <v>175155</v>
      </c>
      <c r="E54" s="6">
        <f t="shared" si="2"/>
        <v>15330654622</v>
      </c>
    </row>
    <row r="55" spans="2:5" x14ac:dyDescent="0.2">
      <c r="B55" s="6">
        <v>48736888030</v>
      </c>
      <c r="C55">
        <v>600720</v>
      </c>
      <c r="D55">
        <v>456190</v>
      </c>
      <c r="E55" s="6">
        <f t="shared" si="2"/>
        <v>48737944940</v>
      </c>
    </row>
    <row r="56" spans="2:5" x14ac:dyDescent="0.2">
      <c r="B56" s="6">
        <v>14515183121</v>
      </c>
      <c r="C56">
        <v>80500</v>
      </c>
      <c r="D56">
        <v>129940</v>
      </c>
      <c r="E56" s="6">
        <f t="shared" si="2"/>
        <v>14515393561</v>
      </c>
    </row>
    <row r="57" spans="2:5" x14ac:dyDescent="0.2">
      <c r="B57" s="6">
        <v>8936648794</v>
      </c>
      <c r="C57">
        <v>102205</v>
      </c>
      <c r="D57">
        <v>114421</v>
      </c>
      <c r="E57" s="6">
        <f t="shared" si="2"/>
        <v>8936865420</v>
      </c>
    </row>
    <row r="58" spans="2:5" x14ac:dyDescent="0.2">
      <c r="B58" s="6">
        <v>30908581541</v>
      </c>
      <c r="C58">
        <v>322875</v>
      </c>
      <c r="D58">
        <v>534490</v>
      </c>
      <c r="E58" s="6">
        <f t="shared" si="2"/>
        <v>30909438906</v>
      </c>
    </row>
    <row r="59" spans="2:5" x14ac:dyDescent="0.2">
      <c r="B59" s="6">
        <v>5934467360</v>
      </c>
      <c r="C59">
        <v>252975</v>
      </c>
      <c r="D59">
        <v>127205</v>
      </c>
      <c r="E59" s="6">
        <f t="shared" si="2"/>
        <v>5934847540</v>
      </c>
    </row>
    <row r="60" spans="2:5" x14ac:dyDescent="0.2">
      <c r="B60" s="6">
        <v>35545292524</v>
      </c>
      <c r="C60">
        <v>660550</v>
      </c>
      <c r="D60">
        <v>557400</v>
      </c>
      <c r="E60" s="6">
        <f t="shared" si="2"/>
        <v>35546510474</v>
      </c>
    </row>
  </sheetData>
  <mergeCells count="11">
    <mergeCell ref="I3:J3"/>
    <mergeCell ref="A27:B27"/>
    <mergeCell ref="I27:J27"/>
    <mergeCell ref="A1:J1"/>
    <mergeCell ref="A2:J2"/>
    <mergeCell ref="H4:I4"/>
    <mergeCell ref="C4:E4"/>
    <mergeCell ref="A4:B4"/>
    <mergeCell ref="F6:G6"/>
    <mergeCell ref="F5:G5"/>
    <mergeCell ref="A25:H25"/>
  </mergeCells>
  <phoneticPr fontId="3" type="noConversion"/>
  <printOptions horizontalCentered="1" verticalCentered="1"/>
  <pageMargins left="0.25" right="0.25" top="1.02" bottom="0.75" header="0.55000000000000004" footer="0.3"/>
  <pageSetup orientation="landscape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7"/>
  <sheetViews>
    <sheetView rightToLeft="1" view="pageLayout" zoomScaleSheetLayoutView="91" workbookViewId="0">
      <selection activeCell="J24" sqref="J24"/>
    </sheetView>
  </sheetViews>
  <sheetFormatPr defaultRowHeight="12.75" x14ac:dyDescent="0.2"/>
  <cols>
    <col min="1" max="1" width="10.5703125" customWidth="1"/>
    <col min="2" max="2" width="8.42578125" customWidth="1"/>
    <col min="3" max="3" width="12.5703125" customWidth="1"/>
    <col min="4" max="4" width="7.7109375" customWidth="1"/>
    <col min="5" max="5" width="13.140625" customWidth="1"/>
    <col min="6" max="6" width="9" customWidth="1"/>
    <col min="7" max="7" width="10.7109375" customWidth="1"/>
    <col min="8" max="8" width="13.5703125" style="7" customWidth="1"/>
    <col min="9" max="9" width="17.28515625" customWidth="1"/>
    <col min="10" max="10" width="16.140625" customWidth="1"/>
    <col min="11" max="11" width="10.140625" hidden="1" customWidth="1"/>
    <col min="12" max="12" width="9.140625" hidden="1" customWidth="1"/>
  </cols>
  <sheetData>
    <row r="1" spans="1:12" ht="15" customHeight="1" x14ac:dyDescent="0.2">
      <c r="A1" s="919" t="s">
        <v>433</v>
      </c>
      <c r="B1" s="919"/>
      <c r="C1" s="919"/>
      <c r="D1" s="919"/>
      <c r="E1" s="919"/>
      <c r="F1" s="919"/>
      <c r="G1" s="919"/>
      <c r="H1" s="919"/>
      <c r="I1" s="919"/>
      <c r="J1" s="919"/>
    </row>
    <row r="2" spans="1:12" ht="12.75" customHeight="1" x14ac:dyDescent="0.2">
      <c r="A2" s="920" t="s">
        <v>426</v>
      </c>
      <c r="B2" s="920"/>
      <c r="C2" s="920"/>
      <c r="D2" s="920"/>
      <c r="E2" s="920"/>
      <c r="F2" s="920"/>
      <c r="G2" s="920"/>
      <c r="H2" s="920"/>
      <c r="I2" s="920"/>
      <c r="J2" s="920"/>
    </row>
    <row r="3" spans="1:12" s="7" customFormat="1" ht="12.75" customHeight="1" x14ac:dyDescent="0.25">
      <c r="A3" s="328"/>
      <c r="B3" s="328"/>
      <c r="C3" s="328"/>
      <c r="D3" s="328"/>
      <c r="E3" s="328"/>
      <c r="F3" s="328"/>
      <c r="G3" s="328"/>
      <c r="H3" s="413"/>
      <c r="I3" s="848" t="s">
        <v>223</v>
      </c>
      <c r="J3" s="848"/>
    </row>
    <row r="4" spans="1:12" ht="17.25" customHeight="1" thickBot="1" x14ac:dyDescent="0.25">
      <c r="A4" s="918" t="s">
        <v>206</v>
      </c>
      <c r="B4" s="918"/>
      <c r="C4" s="921" t="s">
        <v>183</v>
      </c>
      <c r="D4" s="921"/>
      <c r="E4" s="205"/>
      <c r="F4" s="898" t="s">
        <v>356</v>
      </c>
      <c r="G4" s="898"/>
      <c r="H4" s="898"/>
      <c r="I4" s="898"/>
      <c r="J4" s="206" t="s">
        <v>347</v>
      </c>
    </row>
    <row r="5" spans="1:12" ht="15" customHeight="1" x14ac:dyDescent="0.25">
      <c r="A5" s="41"/>
      <c r="B5" s="224" t="s">
        <v>34</v>
      </c>
      <c r="C5" s="223"/>
      <c r="D5" s="922" t="s">
        <v>35</v>
      </c>
      <c r="E5" s="922"/>
      <c r="F5" s="922" t="s">
        <v>58</v>
      </c>
      <c r="G5" s="922"/>
      <c r="H5" s="922" t="s">
        <v>0</v>
      </c>
      <c r="I5" s="922"/>
      <c r="J5" s="41"/>
    </row>
    <row r="6" spans="1:12" ht="15" customHeight="1" x14ac:dyDescent="0.25">
      <c r="A6" s="44"/>
      <c r="B6" s="207" t="s">
        <v>272</v>
      </c>
      <c r="C6" s="207"/>
      <c r="D6" s="828" t="s">
        <v>314</v>
      </c>
      <c r="E6" s="828"/>
      <c r="F6" s="825" t="s">
        <v>177</v>
      </c>
      <c r="G6" s="825"/>
      <c r="H6" s="412"/>
      <c r="I6" s="208" t="s">
        <v>1</v>
      </c>
      <c r="J6" s="44"/>
    </row>
    <row r="7" spans="1:12" ht="15" customHeight="1" x14ac:dyDescent="0.2">
      <c r="A7" s="679"/>
      <c r="B7" s="680" t="s">
        <v>27</v>
      </c>
      <c r="C7" s="681" t="s">
        <v>246</v>
      </c>
      <c r="D7" s="681" t="s">
        <v>27</v>
      </c>
      <c r="E7" s="681" t="s">
        <v>246</v>
      </c>
      <c r="F7" s="681" t="s">
        <v>27</v>
      </c>
      <c r="G7" s="681" t="s">
        <v>246</v>
      </c>
      <c r="H7" s="658" t="s">
        <v>27</v>
      </c>
      <c r="I7" s="680" t="s">
        <v>246</v>
      </c>
      <c r="J7" s="207"/>
    </row>
    <row r="8" spans="1:12" s="3" customFormat="1" ht="15" customHeight="1" x14ac:dyDescent="0.2">
      <c r="A8" s="679" t="s">
        <v>56</v>
      </c>
      <c r="B8" s="680" t="s">
        <v>139</v>
      </c>
      <c r="C8" s="680" t="s">
        <v>29</v>
      </c>
      <c r="D8" s="680" t="s">
        <v>139</v>
      </c>
      <c r="E8" s="680" t="s">
        <v>29</v>
      </c>
      <c r="F8" s="680" t="s">
        <v>139</v>
      </c>
      <c r="G8" s="680" t="s">
        <v>29</v>
      </c>
      <c r="H8" s="682" t="s">
        <v>139</v>
      </c>
      <c r="I8" s="680" t="s">
        <v>29</v>
      </c>
      <c r="J8" s="688" t="s">
        <v>26</v>
      </c>
    </row>
    <row r="9" spans="1:12" s="549" customFormat="1" ht="15" customHeight="1" x14ac:dyDescent="0.25">
      <c r="A9" s="193" t="s">
        <v>395</v>
      </c>
      <c r="B9" s="303">
        <v>63</v>
      </c>
      <c r="C9" s="303">
        <f>B9*55</f>
        <v>3465</v>
      </c>
      <c r="D9" s="303">
        <v>54</v>
      </c>
      <c r="E9" s="303">
        <f>D9*700</f>
        <v>37800</v>
      </c>
      <c r="F9" s="303">
        <v>104</v>
      </c>
      <c r="G9" s="303">
        <f>F9*156</f>
        <v>16224</v>
      </c>
      <c r="H9" s="789">
        <f>ت.صحيه1!B9+ت.صحيه1!D9+ت.صحيه1!F9+ت.صحيه1!H9+ت.صحيه1!J9+ت.صحيه2!B9+ت.صحيه2!D9+ت.صحيه2!F9+ت.صحيه2!H9+ت.صحيه3!B9+ت.صحيه3!D9+ت.صحيه3!F9</f>
        <v>18201</v>
      </c>
      <c r="I9" s="789">
        <f>ت.صحيه1!C9+ت.صحيه1!E9+ت.صحيه1!G9+ت.صحيه1!I9+ت.صحيه2!C9+ت.صحيه2!E9+ت.صحيه2!G9+ت.صحيه2!I9+ت.صحيه3!C9+ت.صحيه3!E9+ت.صحيه3!G9</f>
        <v>143948</v>
      </c>
      <c r="J9" s="303" t="s">
        <v>397</v>
      </c>
      <c r="K9" s="689"/>
    </row>
    <row r="10" spans="1:12" s="7" customFormat="1" ht="15" customHeight="1" x14ac:dyDescent="0.25">
      <c r="A10" s="452" t="s">
        <v>30</v>
      </c>
      <c r="B10" s="304">
        <v>784</v>
      </c>
      <c r="C10" s="304">
        <f>B10*78</f>
        <v>61152</v>
      </c>
      <c r="D10" s="304">
        <v>662</v>
      </c>
      <c r="E10" s="304">
        <f>D10*700</f>
        <v>463400</v>
      </c>
      <c r="F10" s="304">
        <v>1169</v>
      </c>
      <c r="G10" s="304">
        <f>F10*102</f>
        <v>119238</v>
      </c>
      <c r="H10" s="790">
        <f>ت.صحيه1!B10+ت.صحيه1!D10+ت.صحيه1!F10+ت.صحيه1!H10+ت.صحيه1!J10+ت.صحيه2!B10+ت.صحيه2!D10+ت.صحيه2!F10+ت.صحيه2!H10+ت.صحيه3!B10+ت.صحيه3!D10+ت.صحيه3!F10</f>
        <v>276406</v>
      </c>
      <c r="I10" s="790">
        <f>ت.صحيه1!C10+ت.صحيه1!E10+ت.صحيه1!G10+ت.صحيه1!I10+ت.صحيه2!C10+ت.صحيه2!E10+ت.صحيه2!G10+ت.صحيه2!I10+ت.صحيه3!C10+ت.صحيه3!E10+ت.صحيه3!G10</f>
        <v>1744800</v>
      </c>
      <c r="J10" s="304" t="s">
        <v>31</v>
      </c>
      <c r="K10" s="423"/>
    </row>
    <row r="11" spans="1:12" s="447" customFormat="1" ht="15" customHeight="1" x14ac:dyDescent="0.25">
      <c r="A11" s="193" t="s">
        <v>3</v>
      </c>
      <c r="B11" s="303">
        <v>1194</v>
      </c>
      <c r="C11" s="303">
        <f>B11*60</f>
        <v>71640</v>
      </c>
      <c r="D11" s="303">
        <v>0</v>
      </c>
      <c r="E11" s="303">
        <f>D11*730</f>
        <v>0</v>
      </c>
      <c r="F11" s="303">
        <v>1285</v>
      </c>
      <c r="G11" s="303">
        <f>F11*110</f>
        <v>141350</v>
      </c>
      <c r="H11" s="789">
        <f>ت.صحيه1!B11+ت.صحيه1!D11+ت.صحيه1!F11+ت.صحيه1!H11+ت.صحيه1!J11+ت.صحيه2!B11+ت.صحيه2!D11+ت.صحيه2!F11+ت.صحيه2!H11+ت.صحيه3!B11+ت.صحيه3!D11+ت.صحيه3!F11</f>
        <v>278010</v>
      </c>
      <c r="I11" s="789">
        <f>ت.صحيه1!C11+ت.صحيه1!E11+ت.صحيه1!G11+ت.صحيه1!I11+ت.صحيه2!C11+ت.صحيه2!E11+ت.صحيه2!G11+ت.صحيه2!I11+ت.صحيه3!C11+ت.صحيه3!E11+ت.صحيه3!G11</f>
        <v>1080037</v>
      </c>
      <c r="J11" s="303" t="s">
        <v>15</v>
      </c>
      <c r="K11" s="664"/>
    </row>
    <row r="12" spans="1:12" ht="15" customHeight="1" x14ac:dyDescent="0.25">
      <c r="A12" s="192" t="s">
        <v>381</v>
      </c>
      <c r="B12" s="304">
        <v>196</v>
      </c>
      <c r="C12" s="304">
        <f>B12*80</f>
        <v>15680</v>
      </c>
      <c r="D12" s="304">
        <v>30</v>
      </c>
      <c r="E12" s="304">
        <f>D12*590</f>
        <v>17700</v>
      </c>
      <c r="F12" s="304">
        <v>277</v>
      </c>
      <c r="G12" s="304">
        <f>F12*127</f>
        <v>35179</v>
      </c>
      <c r="H12" s="790">
        <f>ت.صحيه1!B12+ت.صحيه1!D12+ت.صحيه1!F12+ت.صحيه1!H12+ت.صحيه1!J12+ت.صحيه2!B12+ت.صحيه2!D12+ت.صحيه2!F12+ت.صحيه2!H12+ت.صحيه3!B12+ت.صحيه3!D12+ت.صحيه3!F12</f>
        <v>67237</v>
      </c>
      <c r="I12" s="790">
        <f>ت.صحيه1!C12+ت.صحيه1!E12+ت.صحيه1!G12+ت.صحيه1!I12+ت.صحيه2!C12+ت.صحيه2!E12+ت.صحيه2!G12+ت.صحيه2!I12+ت.صحيه3!C12+ت.صحيه3!E12+ت.صحيه3!G12</f>
        <v>269375</v>
      </c>
      <c r="J12" s="304" t="s">
        <v>371</v>
      </c>
      <c r="K12" s="423"/>
      <c r="L12" s="7"/>
    </row>
    <row r="13" spans="1:12" s="447" customFormat="1" ht="15" customHeight="1" x14ac:dyDescent="0.25">
      <c r="A13" s="193" t="s">
        <v>4</v>
      </c>
      <c r="B13" s="303">
        <v>7676</v>
      </c>
      <c r="C13" s="303">
        <f>B13*68</f>
        <v>521968</v>
      </c>
      <c r="D13" s="303">
        <v>5459</v>
      </c>
      <c r="E13" s="303">
        <f>D13*725</f>
        <v>3957775</v>
      </c>
      <c r="F13" s="303">
        <v>6230</v>
      </c>
      <c r="G13" s="303">
        <f>F13*145</f>
        <v>903350</v>
      </c>
      <c r="H13" s="789">
        <f>ت.صحيه1!B13+ت.صحيه1!D13+ت.صحيه1!F13+ت.صحيه1!H13+ت.صحيه1!J13+ت.صحيه2!B13+ت.صحيه2!D13+ت.صحيه2!F13+ت.صحيه2!H13+ت.صحيه3!B13+ت.صحيه3!D13+ت.صحيه3!F13</f>
        <v>1501082</v>
      </c>
      <c r="I13" s="789">
        <f>ت.صحيه1!C13+ت.صحيه1!E13+ت.صحيه1!G13+ت.صحيه1!I13+ت.صحيه2!C13+ت.صحيه2!E13+ت.صحيه2!G13+ت.صحيه2!I13+ت.صحيه3!C13+ت.صحيه3!E13+ت.صحيه3!G13</f>
        <v>14818921</v>
      </c>
      <c r="J13" s="303" t="s">
        <v>16</v>
      </c>
      <c r="K13" s="664"/>
    </row>
    <row r="14" spans="1:12" ht="15" customHeight="1" x14ac:dyDescent="0.25">
      <c r="A14" s="298" t="s">
        <v>5</v>
      </c>
      <c r="B14" s="305">
        <v>794</v>
      </c>
      <c r="C14" s="305">
        <f>B14*60</f>
        <v>47640</v>
      </c>
      <c r="D14" s="305">
        <v>624</v>
      </c>
      <c r="E14" s="305">
        <f>D14*700</f>
        <v>436800</v>
      </c>
      <c r="F14" s="305">
        <v>962</v>
      </c>
      <c r="G14" s="305">
        <f>F14*133</f>
        <v>127946</v>
      </c>
      <c r="H14" s="790">
        <f>ت.صحيه1!B14+ت.صحيه1!D14+ت.صحيه1!F14+ت.صحيه1!H14+ت.صحيه1!J14+ت.صحيه2!B14+ت.صحيه2!D14+ت.صحيه2!F14+ت.صحيه2!H14+ت.صحيه3!B14+ت.صحيه3!D14+ت.صحيه3!F14</f>
        <v>221822</v>
      </c>
      <c r="I14" s="790">
        <f>ت.صحيه1!C14+ت.صحيه1!E14+ت.صحيه1!G14+ت.صحيه1!I14+ت.صحيه2!C14+ت.صحيه2!E14+ت.صحيه2!G14+ت.صحيه2!I14+ت.صحيه3!C14+ت.صحيه3!E14+ت.صحيه3!G14</f>
        <v>1641197</v>
      </c>
      <c r="J14" s="305" t="s">
        <v>23</v>
      </c>
      <c r="K14" s="423"/>
      <c r="L14" s="7"/>
    </row>
    <row r="15" spans="1:12" s="447" customFormat="1" ht="15" customHeight="1" x14ac:dyDescent="0.25">
      <c r="A15" s="193" t="s">
        <v>6</v>
      </c>
      <c r="B15" s="303">
        <v>964</v>
      </c>
      <c r="C15" s="303">
        <f>B15*70</f>
        <v>67480</v>
      </c>
      <c r="D15" s="303">
        <v>129</v>
      </c>
      <c r="E15" s="303">
        <f>D15*633</f>
        <v>81657</v>
      </c>
      <c r="F15" s="303">
        <v>1041</v>
      </c>
      <c r="G15" s="303">
        <f>F15*120</f>
        <v>124920</v>
      </c>
      <c r="H15" s="789">
        <f>ت.صحيه1!B15+ت.صحيه1!D15+ت.صحيه1!F15+ت.صحيه1!H15+ت.صحيه1!J15+ت.صحيه2!B15+ت.صحيه2!D15+ت.صحيه2!F15+ت.صحيه2!H15+ت.صحيه3!B15+ت.صحيه3!D15+ت.صحيه3!F15</f>
        <v>151571</v>
      </c>
      <c r="I15" s="789">
        <f>ت.صحيه1!C15+ت.صحيه1!E15+ت.صحيه1!G15+ت.صحيه1!I15+ت.صحيه2!C15+ت.صحيه2!E15+ت.صحيه2!G15+ت.صحيه2!I15+ت.صحيه3!C15+ت.صحيه3!E15+ت.صحيه3!G15</f>
        <v>743227</v>
      </c>
      <c r="J15" s="303" t="s">
        <v>24</v>
      </c>
      <c r="K15" s="664"/>
    </row>
    <row r="16" spans="1:12" ht="15" customHeight="1" x14ac:dyDescent="0.25">
      <c r="A16" s="298" t="s">
        <v>11</v>
      </c>
      <c r="B16" s="305">
        <v>797</v>
      </c>
      <c r="C16" s="305">
        <f>B16*70</f>
        <v>55790</v>
      </c>
      <c r="D16" s="305">
        <v>419</v>
      </c>
      <c r="E16" s="305">
        <f>D16*700</f>
        <v>293300</v>
      </c>
      <c r="F16" s="305">
        <v>1077</v>
      </c>
      <c r="G16" s="305">
        <f>F16*110</f>
        <v>118470</v>
      </c>
      <c r="H16" s="790">
        <f>ت.صحيه1!B16+ت.صحيه1!D16+ت.صحيه1!F16+ت.صحيه1!H16+ت.صحيه1!J16+ت.صحيه2!B16+ت.صحيه2!D16+ت.صحيه2!F16+ت.صحيه2!H16+ت.صحيه3!B16+ت.صحيه3!D16+ت.صحيه3!F16</f>
        <v>213650</v>
      </c>
      <c r="I16" s="790">
        <f>ت.صحيه1!C16+ت.صحيه1!E16+ت.صحيه1!G16+ت.صحيه1!I16+ت.صحيه2!C16+ت.صحيه2!E16+ت.صحيه2!G16+ت.صحيه2!I16+ت.صحيه3!C16+ت.صحيه3!E16+ت.صحيه3!G16</f>
        <v>1206162</v>
      </c>
      <c r="J16" s="305" t="s">
        <v>21</v>
      </c>
      <c r="K16" s="423"/>
      <c r="L16" s="7"/>
    </row>
    <row r="17" spans="1:12" s="447" customFormat="1" ht="15" customHeight="1" x14ac:dyDescent="0.25">
      <c r="A17" s="193" t="s">
        <v>2</v>
      </c>
      <c r="B17" s="303">
        <v>436</v>
      </c>
      <c r="C17" s="303">
        <f>B17*50</f>
        <v>21800</v>
      </c>
      <c r="D17" s="303">
        <v>116</v>
      </c>
      <c r="E17" s="303">
        <f>D17*547</f>
        <v>63452</v>
      </c>
      <c r="F17" s="303">
        <v>648</v>
      </c>
      <c r="G17" s="303">
        <f>F17*113</f>
        <v>73224</v>
      </c>
      <c r="H17" s="789">
        <f>ت.صحيه1!B17+ت.صحيه1!D17+ت.صحيه1!F17+ت.صحيه1!H17+ت.صحيه1!J17+ت.صحيه2!B17+ت.صحيه2!D17+ت.صحيه2!F17+ت.صحيه2!H17+ت.صحيه3!B17+ت.صحيه3!D17+ت.صحيه3!F17</f>
        <v>144907</v>
      </c>
      <c r="I17" s="789">
        <f>ت.صحيه1!C17+ت.صحيه1!E17+ت.صحيه1!G17+ت.صحيه1!I17+ت.صحيه2!C17+ت.صحيه2!E17+ت.صحيه2!G17+ت.صحيه2!I17+ت.صحيه3!C17+ت.صحيه3!E17+ت.صحيه3!G17</f>
        <v>808239</v>
      </c>
      <c r="J17" s="303" t="s">
        <v>14</v>
      </c>
      <c r="K17" s="664"/>
    </row>
    <row r="18" spans="1:12" ht="15" customHeight="1" x14ac:dyDescent="0.25">
      <c r="A18" s="298" t="s">
        <v>7</v>
      </c>
      <c r="B18" s="305">
        <v>1146</v>
      </c>
      <c r="C18" s="305">
        <f>B18*76</f>
        <v>87096</v>
      </c>
      <c r="D18" s="305">
        <v>443</v>
      </c>
      <c r="E18" s="305">
        <f>D18*700</f>
        <v>310100</v>
      </c>
      <c r="F18" s="305">
        <v>1278</v>
      </c>
      <c r="G18" s="305">
        <f>F18*133</f>
        <v>169974</v>
      </c>
      <c r="H18" s="790">
        <f>ت.صحيه1!B18+ت.صحيه1!D18+ت.صحيه1!F18+ت.صحيه1!H18+ت.صحيه1!J18+ت.صحيه2!B18+ت.صحيه2!D18+ت.صحيه2!F18+ت.صحيه2!H18+ت.صحيه3!B18+ت.صحيه3!D18+ت.صحيه3!F18</f>
        <v>194451</v>
      </c>
      <c r="I18" s="790">
        <f>ت.صحيه1!C18+ت.صحيه1!E18+ت.صحيه1!G18+ت.صحيه1!I18+ت.صحيه2!C18+ت.صحيه2!E18+ت.صحيه2!G18+ت.صحيه2!I18+ت.صحيه3!C18+ت.صحيه3!E18+ت.صحيه3!G18</f>
        <v>1537543</v>
      </c>
      <c r="J18" s="305" t="s">
        <v>17</v>
      </c>
      <c r="K18" s="423"/>
      <c r="L18" s="7"/>
    </row>
    <row r="19" spans="1:12" s="447" customFormat="1" ht="15" customHeight="1" x14ac:dyDescent="0.25">
      <c r="A19" s="193" t="s">
        <v>8</v>
      </c>
      <c r="B19" s="303">
        <v>338</v>
      </c>
      <c r="C19" s="303">
        <f>B19*50</f>
        <v>16900</v>
      </c>
      <c r="D19" s="303">
        <v>0</v>
      </c>
      <c r="E19" s="303">
        <f>D19*575</f>
        <v>0</v>
      </c>
      <c r="F19" s="303">
        <v>418</v>
      </c>
      <c r="G19" s="303">
        <f>F19*107</f>
        <v>44726</v>
      </c>
      <c r="H19" s="789">
        <f>ت.صحيه1!B19+ت.صحيه1!D19+ت.صحيه1!F19+ت.صحيه1!H19+ت.صحيه1!J19+ت.صحيه2!B19+ت.صحيه2!D19+ت.صحيه2!F19+ت.صحيه2!H19+ت.صحيه3!B19+ت.صحيه3!D19+ت.صحيه3!F19</f>
        <v>100883</v>
      </c>
      <c r="I19" s="789">
        <f>ت.صحيه1!C19+ت.صحيه1!E19+ت.صحيه1!G19+ت.صحيه1!I19+ت.صحيه2!C19+ت.صحيه2!E19+ت.صحيه2!G19+ت.صحيه2!I19+ت.صحيه3!C19+ت.صحيه3!E19+ت.صحيه3!G19</f>
        <v>428808</v>
      </c>
      <c r="J19" s="303" t="s">
        <v>18</v>
      </c>
      <c r="K19" s="664"/>
    </row>
    <row r="20" spans="1:12" ht="15" customHeight="1" x14ac:dyDescent="0.25">
      <c r="A20" s="298" t="s">
        <v>9</v>
      </c>
      <c r="B20" s="305">
        <v>298</v>
      </c>
      <c r="C20" s="305">
        <f>B20*60</f>
        <v>17880</v>
      </c>
      <c r="D20" s="305">
        <v>27</v>
      </c>
      <c r="E20" s="305">
        <f>D20*500</f>
        <v>13500</v>
      </c>
      <c r="F20" s="305">
        <v>315</v>
      </c>
      <c r="G20" s="305">
        <f>F20*125</f>
        <v>39375</v>
      </c>
      <c r="H20" s="790">
        <f>ت.صحيه1!B20+ت.صحيه1!D20+ت.صحيه1!F20+ت.صحيه1!H20+ت.صحيه1!J20+ت.صحيه2!B20+ت.صحيه2!D20+ت.صحيه2!F20+ت.صحيه2!H20+ت.صحيه3!B20+ت.صحيه3!D20+ت.صحيه3!F20</f>
        <v>94516</v>
      </c>
      <c r="I20" s="790">
        <f>ت.صحيه1!C20+ت.صحيه1!E20+ت.صحيه1!G20+ت.صحيه1!I20+ت.صحيه2!C20+ت.صحيه2!E20+ت.صحيه2!G20+ت.صحيه2!I20+ت.صحيه3!C20+ت.صحيه3!E20+ت.صحيه3!G20</f>
        <v>422274</v>
      </c>
      <c r="J20" s="305" t="s">
        <v>19</v>
      </c>
      <c r="K20" s="423"/>
      <c r="L20" s="7"/>
    </row>
    <row r="21" spans="1:12" s="447" customFormat="1" ht="15" customHeight="1" x14ac:dyDescent="0.25">
      <c r="A21" s="193" t="s">
        <v>10</v>
      </c>
      <c r="B21" s="303">
        <v>1034</v>
      </c>
      <c r="C21" s="303">
        <f>B21*75</f>
        <v>77550</v>
      </c>
      <c r="D21" s="303">
        <v>70</v>
      </c>
      <c r="E21" s="303">
        <f>D21*500</f>
        <v>35000</v>
      </c>
      <c r="F21" s="303">
        <v>1129</v>
      </c>
      <c r="G21" s="303">
        <f>F21*156</f>
        <v>176124</v>
      </c>
      <c r="H21" s="789">
        <f>ت.صحيه1!B21+ت.صحيه1!D21+ت.صحيه1!F21+ت.صحيه1!H21+ت.صحيه1!J21+ت.صحيه2!B21+ت.صحيه2!D21+ت.صحيه2!F21+ت.صحيه2!H21+ت.صحيه3!B21+ت.صحيه3!D21+ت.صحيه3!F21</f>
        <v>155198</v>
      </c>
      <c r="I21" s="789">
        <f>ت.صحيه1!C21+ت.صحيه1!E21+ت.صحيه1!G21+ت.صحيه1!I21+ت.صحيه2!C21+ت.صحيه2!E21+ت.صحيه2!G21+ت.صحيه2!I21+ت.صحيه3!C21+ت.صحيه3!E21+ت.صحيه3!G21</f>
        <v>1073253</v>
      </c>
      <c r="J21" s="303" t="s">
        <v>20</v>
      </c>
      <c r="K21" s="664"/>
    </row>
    <row r="22" spans="1:12" ht="15" customHeight="1" x14ac:dyDescent="0.25">
      <c r="A22" s="298" t="s">
        <v>12</v>
      </c>
      <c r="B22" s="305">
        <v>326</v>
      </c>
      <c r="C22" s="305">
        <f>B22*70</f>
        <v>22820</v>
      </c>
      <c r="D22" s="305">
        <v>169</v>
      </c>
      <c r="E22" s="305">
        <f>D22*500</f>
        <v>84500</v>
      </c>
      <c r="F22" s="305">
        <v>476</v>
      </c>
      <c r="G22" s="305">
        <f>F22*125</f>
        <v>59500</v>
      </c>
      <c r="H22" s="790">
        <f>ت.صحيه1!B22+ت.صحيه1!D22+ت.صحيه1!F22+ت.صحيه1!H22+ت.صحيه1!J22+ت.صحيه2!B22+ت.صحيه2!D22+ت.صحيه2!F22+ت.صحيه2!H22+ت.صحيه3!B22+ت.صحيه3!D22+ت.صحيه3!F22</f>
        <v>66897</v>
      </c>
      <c r="I22" s="790">
        <f>ت.صحيه1!C22+ت.صحيه1!E22+ت.صحيه1!G22+ت.صحيه1!I22+ت.صحيه2!C22+ت.صحيه2!E22+ت.صحيه2!G22+ت.صحيه2!I22+ت.صحيه3!C22+ت.صحيه3!E22+ت.صحيه3!G22</f>
        <v>522182</v>
      </c>
      <c r="J22" s="305" t="s">
        <v>25</v>
      </c>
      <c r="K22" s="423"/>
      <c r="L22" s="7"/>
    </row>
    <row r="23" spans="1:12" s="599" customFormat="1" ht="15" customHeight="1" thickBot="1" x14ac:dyDescent="0.3">
      <c r="A23" s="683" t="s">
        <v>13</v>
      </c>
      <c r="B23" s="669">
        <v>1012</v>
      </c>
      <c r="C23" s="669">
        <f>B23*70</f>
        <v>70840</v>
      </c>
      <c r="D23" s="669">
        <v>359</v>
      </c>
      <c r="E23" s="669">
        <f>D23*700</f>
        <v>251300</v>
      </c>
      <c r="F23" s="669">
        <v>1199</v>
      </c>
      <c r="G23" s="669">
        <f>F23*150</f>
        <v>179850</v>
      </c>
      <c r="H23" s="795">
        <f>ت.صحيه1!B23+ت.صحيه1!D23+ت.صحيه1!F23+ت.صحيه1!H23+ت.صحيه1!J23+ت.صحيه2!B23+ت.صحيه2!D23+ت.صحيه2!F23+ت.صحيه2!H23+ت.صحيه3!B23+ت.صحيه3!D23+ت.صحيه3!F23</f>
        <v>192207</v>
      </c>
      <c r="I23" s="795">
        <f>ت.صحيه1!C23+ت.صحيه1!E23+ت.صحيه1!G23+ت.صحيه1!I23+ت.صحيه2!C23+ت.صحيه2!E23+ت.صحيه2!G23+ت.صحيه2!I23+ت.صحيه3!C23+ت.صحيه3!E23+ت.صحيه3!G23</f>
        <v>1595467</v>
      </c>
      <c r="J23" s="669" t="s">
        <v>22</v>
      </c>
      <c r="K23" s="687"/>
    </row>
    <row r="24" spans="1:12" s="686" customFormat="1" ht="19.5" customHeight="1" thickBot="1" x14ac:dyDescent="0.25">
      <c r="A24" s="684" t="s">
        <v>0</v>
      </c>
      <c r="B24" s="787">
        <f t="shared" ref="B24:G24" si="0">SUM(B9:B23)</f>
        <v>17058</v>
      </c>
      <c r="C24" s="787">
        <f t="shared" si="0"/>
        <v>1159701</v>
      </c>
      <c r="D24" s="787">
        <f t="shared" si="0"/>
        <v>8561</v>
      </c>
      <c r="E24" s="787">
        <f t="shared" si="0"/>
        <v>6046284</v>
      </c>
      <c r="F24" s="787">
        <f t="shared" si="0"/>
        <v>17608</v>
      </c>
      <c r="G24" s="787">
        <f t="shared" si="0"/>
        <v>2329450</v>
      </c>
      <c r="H24" s="796">
        <f>ت.صحيه1!B24+ت.صحيه1!D24+ت.صحيه1!F24+ت.صحيه1!H24+ت.صحيه1!J24+ت.صحيه2!B24+ت.صحيه2!D24+ت.صحيه2!F24+ت.صحيه2!H24+ت.صحيه3!B24+ت.صحيه3!D24+ت.صحيه3!F24</f>
        <v>3677038</v>
      </c>
      <c r="I24" s="796">
        <f>ت.صحيه1!C24+ت.صحيه1!E24+ت.صحيه1!G24+ت.صحيه1!I24+ت.صحيه2!C24+ت.صحيه2!E24+ت.صحيه2!G24+ت.صحيه2!I24+ت.صحيه3!C24+ت.صحيه3!E24+ت.صحيه3!G24</f>
        <v>28035433</v>
      </c>
      <c r="J24" s="685" t="s">
        <v>1</v>
      </c>
    </row>
    <row r="25" spans="1:12" s="7" customFormat="1" ht="19.5" customHeight="1" x14ac:dyDescent="0.2">
      <c r="A25" s="862"/>
      <c r="B25" s="862"/>
      <c r="C25" s="862"/>
      <c r="D25" s="862"/>
      <c r="E25" s="862"/>
      <c r="F25" s="862"/>
      <c r="G25" s="862"/>
      <c r="H25" s="410"/>
      <c r="I25" s="296"/>
      <c r="J25" s="302"/>
    </row>
    <row r="26" spans="1:12" ht="14.25" x14ac:dyDescent="0.2">
      <c r="C26" s="7"/>
      <c r="D26" s="7"/>
      <c r="E26" s="7"/>
      <c r="F26" s="7"/>
      <c r="G26" s="7"/>
      <c r="I26" s="7"/>
      <c r="J26" s="258"/>
      <c r="K26" s="7"/>
    </row>
    <row r="27" spans="1:12" ht="15" customHeight="1" x14ac:dyDescent="0.25">
      <c r="A27" s="880"/>
      <c r="B27" s="880"/>
      <c r="C27" s="7"/>
      <c r="D27" s="7"/>
      <c r="E27" s="7"/>
      <c r="F27" s="7"/>
      <c r="G27" s="7"/>
      <c r="I27" s="7"/>
      <c r="J27" s="56"/>
      <c r="L27" s="56"/>
    </row>
  </sheetData>
  <mergeCells count="13">
    <mergeCell ref="I3:J3"/>
    <mergeCell ref="A27:B27"/>
    <mergeCell ref="A4:B4"/>
    <mergeCell ref="A1:J1"/>
    <mergeCell ref="A2:J2"/>
    <mergeCell ref="C4:D4"/>
    <mergeCell ref="F4:I4"/>
    <mergeCell ref="F6:G6"/>
    <mergeCell ref="D5:E5"/>
    <mergeCell ref="F5:G5"/>
    <mergeCell ref="D6:E6"/>
    <mergeCell ref="A25:G25"/>
    <mergeCell ref="H5:I5"/>
  </mergeCells>
  <phoneticPr fontId="3" type="noConversion"/>
  <printOptions horizontalCentered="1" verticalCentered="1"/>
  <pageMargins left="0.46" right="0.91" top="0" bottom="0.98425196850393704" header="0.78740157480314998" footer="0.511811023622047"/>
  <pageSetup orientation="landscape" verticalDpi="300" r:id="rId1"/>
  <headerFooter alignWithMargins="0">
    <oddFooter>&amp;C45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3"/>
  <sheetViews>
    <sheetView rightToLeft="1" view="pageLayout" zoomScaleSheetLayoutView="100" workbookViewId="0">
      <selection activeCell="A27" sqref="A27:B27"/>
    </sheetView>
  </sheetViews>
  <sheetFormatPr defaultRowHeight="12.75" x14ac:dyDescent="0.2"/>
  <cols>
    <col min="1" max="2" width="7.140625" customWidth="1"/>
    <col min="3" max="3" width="10.28515625" customWidth="1"/>
    <col min="4" max="4" width="7.7109375" customWidth="1"/>
    <col min="5" max="5" width="9.85546875" customWidth="1"/>
    <col min="6" max="6" width="10" customWidth="1"/>
    <col min="7" max="7" width="13" customWidth="1"/>
    <col min="8" max="8" width="11.5703125" customWidth="1"/>
    <col min="9" max="9" width="14.140625" customWidth="1"/>
    <col min="10" max="10" width="10.42578125" customWidth="1"/>
    <col min="11" max="11" width="11" customWidth="1"/>
    <col min="12" max="12" width="15.28515625" customWidth="1"/>
    <col min="13" max="13" width="0.28515625" hidden="1" customWidth="1"/>
    <col min="14" max="14" width="10" bestFit="1" customWidth="1"/>
  </cols>
  <sheetData>
    <row r="1" spans="1:15" ht="15" x14ac:dyDescent="0.2">
      <c r="A1" s="821" t="s">
        <v>433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</row>
    <row r="2" spans="1:15" ht="14.25" customHeight="1" x14ac:dyDescent="0.2">
      <c r="A2" s="829" t="s">
        <v>426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5" s="7" customFormat="1" ht="14.25" customHeight="1" x14ac:dyDescent="0.25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848" t="s">
        <v>223</v>
      </c>
      <c r="L3" s="848"/>
    </row>
    <row r="4" spans="1:15" ht="15" customHeight="1" thickBot="1" x14ac:dyDescent="0.3">
      <c r="A4" s="875" t="s">
        <v>483</v>
      </c>
      <c r="B4" s="875"/>
      <c r="C4" s="875" t="s">
        <v>184</v>
      </c>
      <c r="D4" s="875"/>
      <c r="E4" s="21"/>
      <c r="F4" s="21"/>
      <c r="G4" s="858" t="s">
        <v>185</v>
      </c>
      <c r="H4" s="858"/>
      <c r="I4" s="858"/>
      <c r="J4" s="858"/>
      <c r="K4" s="858"/>
      <c r="L4" s="341" t="s">
        <v>353</v>
      </c>
    </row>
    <row r="5" spans="1:15" ht="15" customHeight="1" x14ac:dyDescent="0.2">
      <c r="A5" s="135"/>
      <c r="B5" s="861" t="s">
        <v>75</v>
      </c>
      <c r="C5" s="861"/>
      <c r="D5" s="861" t="s">
        <v>76</v>
      </c>
      <c r="E5" s="861"/>
      <c r="F5" s="861" t="s">
        <v>77</v>
      </c>
      <c r="G5" s="861"/>
      <c r="H5" s="861" t="s">
        <v>78</v>
      </c>
      <c r="I5" s="861"/>
      <c r="J5" s="861" t="s">
        <v>198</v>
      </c>
      <c r="K5" s="861"/>
      <c r="L5" s="39"/>
    </row>
    <row r="6" spans="1:15" ht="15" customHeight="1" x14ac:dyDescent="0.25">
      <c r="A6" s="35"/>
      <c r="B6" s="825" t="s">
        <v>298</v>
      </c>
      <c r="C6" s="825"/>
      <c r="D6" s="829" t="s">
        <v>299</v>
      </c>
      <c r="E6" s="829"/>
      <c r="F6" s="829" t="s">
        <v>300</v>
      </c>
      <c r="G6" s="829"/>
      <c r="H6" s="829" t="s">
        <v>178</v>
      </c>
      <c r="I6" s="829"/>
      <c r="J6" s="829" t="s">
        <v>301</v>
      </c>
      <c r="K6" s="829"/>
      <c r="L6" s="42"/>
    </row>
    <row r="7" spans="1:15" ht="15" customHeight="1" x14ac:dyDescent="0.2">
      <c r="A7" s="56"/>
      <c r="B7" s="518" t="s">
        <v>71</v>
      </c>
      <c r="C7" s="519" t="s">
        <v>246</v>
      </c>
      <c r="D7" s="519" t="s">
        <v>44</v>
      </c>
      <c r="E7" s="519" t="s">
        <v>246</v>
      </c>
      <c r="F7" s="519" t="s">
        <v>37</v>
      </c>
      <c r="G7" s="519" t="s">
        <v>246</v>
      </c>
      <c r="H7" s="519" t="s">
        <v>202</v>
      </c>
      <c r="I7" s="520" t="s">
        <v>249</v>
      </c>
      <c r="J7" s="518" t="s">
        <v>44</v>
      </c>
      <c r="K7" s="518" t="s">
        <v>246</v>
      </c>
      <c r="L7" s="42"/>
    </row>
    <row r="8" spans="1:15" ht="15" customHeight="1" thickBot="1" x14ac:dyDescent="0.25">
      <c r="A8" s="546" t="s">
        <v>56</v>
      </c>
      <c r="B8" s="691" t="s">
        <v>45</v>
      </c>
      <c r="C8" s="691" t="s">
        <v>29</v>
      </c>
      <c r="D8" s="691" t="s">
        <v>45</v>
      </c>
      <c r="E8" s="691" t="s">
        <v>29</v>
      </c>
      <c r="F8" s="691" t="s">
        <v>141</v>
      </c>
      <c r="G8" s="691" t="s">
        <v>29</v>
      </c>
      <c r="H8" s="691" t="s">
        <v>138</v>
      </c>
      <c r="I8" s="691" t="s">
        <v>29</v>
      </c>
      <c r="J8" s="691" t="s">
        <v>45</v>
      </c>
      <c r="K8" s="691" t="s">
        <v>199</v>
      </c>
      <c r="L8" s="64" t="s">
        <v>26</v>
      </c>
    </row>
    <row r="9" spans="1:15" ht="15" customHeight="1" thickTop="1" x14ac:dyDescent="0.2">
      <c r="A9" s="193" t="s">
        <v>395</v>
      </c>
      <c r="B9" s="303">
        <v>1</v>
      </c>
      <c r="C9" s="303">
        <f>B9*50</f>
        <v>50</v>
      </c>
      <c r="D9" s="303">
        <v>1</v>
      </c>
      <c r="E9" s="303">
        <f>D9*3</f>
        <v>3</v>
      </c>
      <c r="F9" s="303">
        <v>0</v>
      </c>
      <c r="G9" s="303">
        <f>F9*500</f>
        <v>0</v>
      </c>
      <c r="H9" s="789">
        <v>15238</v>
      </c>
      <c r="I9" s="789">
        <f>H9*12</f>
        <v>182856</v>
      </c>
      <c r="J9" s="303">
        <v>489</v>
      </c>
      <c r="K9" s="793">
        <f>J9*20</f>
        <v>9780</v>
      </c>
      <c r="L9" s="303" t="s">
        <v>397</v>
      </c>
      <c r="O9" s="7"/>
    </row>
    <row r="10" spans="1:15" s="211" customFormat="1" ht="15" customHeight="1" x14ac:dyDescent="0.2">
      <c r="A10" s="298" t="s">
        <v>30</v>
      </c>
      <c r="B10" s="305">
        <v>13</v>
      </c>
      <c r="C10" s="305">
        <f>B10*50</f>
        <v>650</v>
      </c>
      <c r="D10" s="305">
        <v>0</v>
      </c>
      <c r="E10" s="305">
        <f t="shared" ref="E10:E11" si="0">D10*3</f>
        <v>0</v>
      </c>
      <c r="F10" s="305">
        <v>0</v>
      </c>
      <c r="G10" s="305">
        <f>F10*300</f>
        <v>0</v>
      </c>
      <c r="H10" s="786">
        <v>201021</v>
      </c>
      <c r="I10" s="786">
        <f t="shared" ref="I10:I23" si="1">H10*12</f>
        <v>2412252</v>
      </c>
      <c r="J10" s="305">
        <v>3657</v>
      </c>
      <c r="K10" s="794">
        <f>J10*20</f>
        <v>73140</v>
      </c>
      <c r="L10" s="305" t="s">
        <v>31</v>
      </c>
    </row>
    <row r="11" spans="1:15" s="447" customFormat="1" ht="15" customHeight="1" x14ac:dyDescent="0.2">
      <c r="A11" s="692" t="s">
        <v>3</v>
      </c>
      <c r="B11" s="303">
        <v>13</v>
      </c>
      <c r="C11" s="303">
        <f>B11*60</f>
        <v>780</v>
      </c>
      <c r="D11" s="303">
        <v>0</v>
      </c>
      <c r="E11" s="303">
        <f t="shared" si="0"/>
        <v>0</v>
      </c>
      <c r="F11" s="303">
        <v>8182</v>
      </c>
      <c r="G11" s="303">
        <f>F11*300</f>
        <v>2454600</v>
      </c>
      <c r="H11" s="789">
        <v>246394</v>
      </c>
      <c r="I11" s="789">
        <f t="shared" si="1"/>
        <v>2956728</v>
      </c>
      <c r="J11" s="303">
        <v>3890</v>
      </c>
      <c r="K11" s="793">
        <f>J11*17</f>
        <v>66130</v>
      </c>
      <c r="L11" s="303" t="s">
        <v>15</v>
      </c>
    </row>
    <row r="12" spans="1:15" s="211" customFormat="1" ht="15" customHeight="1" x14ac:dyDescent="0.2">
      <c r="A12" s="656" t="s">
        <v>381</v>
      </c>
      <c r="B12" s="305">
        <v>3</v>
      </c>
      <c r="C12" s="305">
        <f>B12*75</f>
        <v>225</v>
      </c>
      <c r="D12" s="305">
        <v>6</v>
      </c>
      <c r="E12" s="305">
        <f>D12*2</f>
        <v>12</v>
      </c>
      <c r="F12" s="305">
        <v>398</v>
      </c>
      <c r="G12" s="305">
        <f>F12*350</f>
        <v>139300</v>
      </c>
      <c r="H12" s="786">
        <v>52831</v>
      </c>
      <c r="I12" s="786">
        <f t="shared" si="1"/>
        <v>633972</v>
      </c>
      <c r="J12" s="305">
        <v>599</v>
      </c>
      <c r="K12" s="794">
        <f>J12*30</f>
        <v>17970</v>
      </c>
      <c r="L12" s="305" t="s">
        <v>371</v>
      </c>
    </row>
    <row r="13" spans="1:15" s="447" customFormat="1" ht="15" customHeight="1" x14ac:dyDescent="0.2">
      <c r="A13" s="193" t="s">
        <v>4</v>
      </c>
      <c r="B13" s="303">
        <v>69</v>
      </c>
      <c r="C13" s="303">
        <f>B13*70</f>
        <v>4830</v>
      </c>
      <c r="D13" s="303">
        <v>86</v>
      </c>
      <c r="E13" s="303">
        <f>D13*3</f>
        <v>258</v>
      </c>
      <c r="F13" s="303">
        <v>388174</v>
      </c>
      <c r="G13" s="303">
        <f>F13*500</f>
        <v>194087000</v>
      </c>
      <c r="H13" s="789">
        <v>1245101</v>
      </c>
      <c r="I13" s="789">
        <f t="shared" si="1"/>
        <v>14941212</v>
      </c>
      <c r="J13" s="303">
        <v>52888</v>
      </c>
      <c r="K13" s="793">
        <f>J13*25</f>
        <v>1322200</v>
      </c>
      <c r="L13" s="303" t="s">
        <v>16</v>
      </c>
    </row>
    <row r="14" spans="1:15" s="211" customFormat="1" ht="15" customHeight="1" x14ac:dyDescent="0.2">
      <c r="A14" s="298" t="s">
        <v>5</v>
      </c>
      <c r="B14" s="305">
        <v>8</v>
      </c>
      <c r="C14" s="305">
        <f t="shared" ref="C14:C16" si="2">B14*70</f>
        <v>560</v>
      </c>
      <c r="D14" s="305">
        <v>3</v>
      </c>
      <c r="E14" s="305">
        <f>D14*2</f>
        <v>6</v>
      </c>
      <c r="F14" s="305">
        <v>1201</v>
      </c>
      <c r="G14" s="305">
        <f>F14*360</f>
        <v>432360</v>
      </c>
      <c r="H14" s="786">
        <v>181554</v>
      </c>
      <c r="I14" s="786">
        <f t="shared" si="1"/>
        <v>2178648</v>
      </c>
      <c r="J14" s="305">
        <v>0</v>
      </c>
      <c r="K14" s="794">
        <f>J14*17</f>
        <v>0</v>
      </c>
      <c r="L14" s="305" t="s">
        <v>23</v>
      </c>
      <c r="N14" s="211">
        <f>O14*450</f>
        <v>420710400</v>
      </c>
      <c r="O14" s="211">
        <v>934912</v>
      </c>
    </row>
    <row r="15" spans="1:15" s="447" customFormat="1" ht="15" customHeight="1" x14ac:dyDescent="0.2">
      <c r="A15" s="193" t="s">
        <v>6</v>
      </c>
      <c r="B15" s="303">
        <v>11</v>
      </c>
      <c r="C15" s="303">
        <f t="shared" si="2"/>
        <v>770</v>
      </c>
      <c r="D15" s="303">
        <v>6</v>
      </c>
      <c r="E15" s="303">
        <f t="shared" ref="E15:E17" si="3">D15*2</f>
        <v>12</v>
      </c>
      <c r="F15" s="303">
        <v>1720</v>
      </c>
      <c r="G15" s="303">
        <f>F15*400</f>
        <v>688000</v>
      </c>
      <c r="H15" s="789">
        <v>133379</v>
      </c>
      <c r="I15" s="789">
        <f t="shared" si="1"/>
        <v>1600548</v>
      </c>
      <c r="J15" s="303">
        <v>0</v>
      </c>
      <c r="K15" s="793">
        <f t="shared" ref="K15:K18" si="4">J15*17</f>
        <v>0</v>
      </c>
      <c r="L15" s="303" t="s">
        <v>24</v>
      </c>
    </row>
    <row r="16" spans="1:15" s="211" customFormat="1" ht="15" customHeight="1" x14ac:dyDescent="0.2">
      <c r="A16" s="298" t="s">
        <v>11</v>
      </c>
      <c r="B16" s="305">
        <v>12</v>
      </c>
      <c r="C16" s="305">
        <f t="shared" si="2"/>
        <v>840</v>
      </c>
      <c r="D16" s="305">
        <v>5</v>
      </c>
      <c r="E16" s="305">
        <f t="shared" si="3"/>
        <v>10</v>
      </c>
      <c r="F16" s="305">
        <v>714</v>
      </c>
      <c r="G16" s="305">
        <f>F16*400</f>
        <v>285600</v>
      </c>
      <c r="H16" s="786">
        <v>140035</v>
      </c>
      <c r="I16" s="786">
        <f t="shared" si="1"/>
        <v>1680420</v>
      </c>
      <c r="J16" s="305">
        <v>0</v>
      </c>
      <c r="K16" s="794">
        <f t="shared" si="4"/>
        <v>0</v>
      </c>
      <c r="L16" s="305" t="s">
        <v>21</v>
      </c>
    </row>
    <row r="17" spans="1:15" s="447" customFormat="1" ht="22.5" customHeight="1" x14ac:dyDescent="0.2">
      <c r="A17" s="193" t="s">
        <v>2</v>
      </c>
      <c r="B17" s="303">
        <v>8</v>
      </c>
      <c r="C17" s="303">
        <f>B17*60</f>
        <v>480</v>
      </c>
      <c r="D17" s="303">
        <v>10</v>
      </c>
      <c r="E17" s="303">
        <f t="shared" si="3"/>
        <v>20</v>
      </c>
      <c r="F17" s="303">
        <v>347</v>
      </c>
      <c r="G17" s="303">
        <f>F17*350</f>
        <v>121450</v>
      </c>
      <c r="H17" s="789">
        <v>73987</v>
      </c>
      <c r="I17" s="789">
        <f t="shared" si="1"/>
        <v>887844</v>
      </c>
      <c r="J17" s="303">
        <v>0</v>
      </c>
      <c r="K17" s="793">
        <f t="shared" si="4"/>
        <v>0</v>
      </c>
      <c r="L17" s="733" t="s">
        <v>14</v>
      </c>
    </row>
    <row r="18" spans="1:15" s="211" customFormat="1" ht="15" customHeight="1" x14ac:dyDescent="0.2">
      <c r="A18" s="298" t="s">
        <v>7</v>
      </c>
      <c r="B18" s="305">
        <v>24</v>
      </c>
      <c r="C18" s="305">
        <f>B18*65</f>
        <v>1560</v>
      </c>
      <c r="D18" s="305">
        <v>4</v>
      </c>
      <c r="E18" s="305">
        <f>D18*3</f>
        <v>12</v>
      </c>
      <c r="F18" s="305">
        <v>1808</v>
      </c>
      <c r="G18" s="305">
        <f>F18*470</f>
        <v>849760</v>
      </c>
      <c r="H18" s="786">
        <v>283348</v>
      </c>
      <c r="I18" s="786">
        <f t="shared" si="1"/>
        <v>3400176</v>
      </c>
      <c r="J18" s="305">
        <v>0</v>
      </c>
      <c r="K18" s="794">
        <f t="shared" si="4"/>
        <v>0</v>
      </c>
      <c r="L18" s="305" t="s">
        <v>17</v>
      </c>
    </row>
    <row r="19" spans="1:15" s="447" customFormat="1" ht="15" customHeight="1" x14ac:dyDescent="0.2">
      <c r="A19" s="193" t="s">
        <v>8</v>
      </c>
      <c r="B19" s="303">
        <v>5</v>
      </c>
      <c r="C19" s="303">
        <f>B19*60</f>
        <v>300</v>
      </c>
      <c r="D19" s="303">
        <v>6</v>
      </c>
      <c r="E19" s="303">
        <f>D19*2</f>
        <v>12</v>
      </c>
      <c r="F19" s="303">
        <v>332</v>
      </c>
      <c r="G19" s="303">
        <f>F19*400</f>
        <v>132800</v>
      </c>
      <c r="H19" s="789">
        <v>68568</v>
      </c>
      <c r="I19" s="789">
        <f t="shared" si="1"/>
        <v>822816</v>
      </c>
      <c r="J19" s="303">
        <v>0</v>
      </c>
      <c r="K19" s="793">
        <f>J19*25</f>
        <v>0</v>
      </c>
      <c r="L19" s="303" t="s">
        <v>18</v>
      </c>
      <c r="N19" s="447">
        <v>372958</v>
      </c>
    </row>
    <row r="20" spans="1:15" s="211" customFormat="1" ht="15" customHeight="1" x14ac:dyDescent="0.2">
      <c r="A20" s="298" t="s">
        <v>9</v>
      </c>
      <c r="B20" s="305">
        <v>4</v>
      </c>
      <c r="C20" s="305">
        <f>B20*75</f>
        <v>300</v>
      </c>
      <c r="D20" s="305">
        <v>13</v>
      </c>
      <c r="E20" s="305">
        <f>D20*2</f>
        <v>26</v>
      </c>
      <c r="F20" s="305">
        <v>0</v>
      </c>
      <c r="G20" s="305">
        <f>F20*557</f>
        <v>0</v>
      </c>
      <c r="H20" s="786">
        <v>56255</v>
      </c>
      <c r="I20" s="786">
        <f t="shared" si="1"/>
        <v>675060</v>
      </c>
      <c r="J20" s="305">
        <v>0</v>
      </c>
      <c r="K20" s="794">
        <f>J20*20</f>
        <v>0</v>
      </c>
      <c r="L20" s="305" t="s">
        <v>19</v>
      </c>
      <c r="N20" s="211">
        <v>643796</v>
      </c>
    </row>
    <row r="21" spans="1:15" ht="15" customHeight="1" x14ac:dyDescent="0.2">
      <c r="A21" s="193" t="s">
        <v>10</v>
      </c>
      <c r="B21" s="303">
        <v>8</v>
      </c>
      <c r="C21" s="303">
        <f>B21*60</f>
        <v>480</v>
      </c>
      <c r="D21" s="303">
        <v>7</v>
      </c>
      <c r="E21" s="303">
        <f>D21*3</f>
        <v>21</v>
      </c>
      <c r="F21" s="303">
        <v>0</v>
      </c>
      <c r="G21" s="303">
        <f>F21*500</f>
        <v>0</v>
      </c>
      <c r="H21" s="789">
        <v>210558</v>
      </c>
      <c r="I21" s="789">
        <f t="shared" si="1"/>
        <v>2526696</v>
      </c>
      <c r="J21" s="303">
        <v>0</v>
      </c>
      <c r="K21" s="793">
        <f>J21*25</f>
        <v>0</v>
      </c>
      <c r="L21" s="303" t="s">
        <v>20</v>
      </c>
      <c r="N21" s="7">
        <v>6766</v>
      </c>
      <c r="O21" s="7"/>
    </row>
    <row r="22" spans="1:15" s="211" customFormat="1" ht="15" customHeight="1" x14ac:dyDescent="0.2">
      <c r="A22" s="298" t="s">
        <v>12</v>
      </c>
      <c r="B22" s="305">
        <v>4</v>
      </c>
      <c r="C22" s="305">
        <f>B22*70</f>
        <v>280</v>
      </c>
      <c r="D22" s="305">
        <v>1</v>
      </c>
      <c r="E22" s="305">
        <f>D22*2</f>
        <v>2</v>
      </c>
      <c r="F22" s="305">
        <v>5</v>
      </c>
      <c r="G22" s="305">
        <f>F22*430</f>
        <v>2150</v>
      </c>
      <c r="H22" s="786">
        <v>62783</v>
      </c>
      <c r="I22" s="786">
        <f t="shared" si="1"/>
        <v>753396</v>
      </c>
      <c r="J22" s="305">
        <v>0</v>
      </c>
      <c r="K22" s="794">
        <f>J22*25</f>
        <v>0</v>
      </c>
      <c r="L22" s="305" t="s">
        <v>25</v>
      </c>
      <c r="N22" s="211">
        <v>2912972</v>
      </c>
    </row>
    <row r="23" spans="1:15" ht="15" customHeight="1" thickBot="1" x14ac:dyDescent="0.25">
      <c r="A23" s="193" t="s">
        <v>13</v>
      </c>
      <c r="B23" s="303">
        <v>12</v>
      </c>
      <c r="C23" s="303">
        <f>B23*75</f>
        <v>900</v>
      </c>
      <c r="D23" s="303">
        <v>18</v>
      </c>
      <c r="E23" s="303">
        <f>D23*2</f>
        <v>36</v>
      </c>
      <c r="F23" s="303">
        <v>0</v>
      </c>
      <c r="G23" s="303">
        <f>F23*500</f>
        <v>0</v>
      </c>
      <c r="H23" s="789">
        <v>268101</v>
      </c>
      <c r="I23" s="789">
        <f t="shared" si="1"/>
        <v>3217212</v>
      </c>
      <c r="J23" s="303">
        <v>0</v>
      </c>
      <c r="K23" s="793">
        <f>J23*30</f>
        <v>0</v>
      </c>
      <c r="L23" s="303" t="s">
        <v>22</v>
      </c>
      <c r="N23" s="7">
        <v>424136</v>
      </c>
      <c r="O23" s="7"/>
    </row>
    <row r="24" spans="1:15" s="211" customFormat="1" ht="24" customHeight="1" thickBot="1" x14ac:dyDescent="0.25">
      <c r="A24" s="306" t="s">
        <v>0</v>
      </c>
      <c r="B24" s="312">
        <f t="shared" ref="B24:K24" si="5">SUM(B9:B23)</f>
        <v>195</v>
      </c>
      <c r="C24" s="312">
        <f t="shared" si="5"/>
        <v>13005</v>
      </c>
      <c r="D24" s="312">
        <f t="shared" si="5"/>
        <v>166</v>
      </c>
      <c r="E24" s="312">
        <f t="shared" si="5"/>
        <v>430</v>
      </c>
      <c r="F24" s="312">
        <f t="shared" si="5"/>
        <v>402881</v>
      </c>
      <c r="G24" s="312">
        <f t="shared" si="5"/>
        <v>199193020</v>
      </c>
      <c r="H24" s="312">
        <f t="shared" si="5"/>
        <v>3239153</v>
      </c>
      <c r="I24" s="312">
        <f>SUM(I9:I23)</f>
        <v>38869836</v>
      </c>
      <c r="J24" s="792">
        <f t="shared" si="5"/>
        <v>61523</v>
      </c>
      <c r="K24" s="792">
        <f t="shared" si="5"/>
        <v>1489220</v>
      </c>
      <c r="L24" s="312" t="s">
        <v>1</v>
      </c>
      <c r="N24" s="211">
        <v>331402</v>
      </c>
    </row>
    <row r="25" spans="1:15" s="7" customFormat="1" ht="16.5" customHeight="1" thickTop="1" x14ac:dyDescent="0.2">
      <c r="A25" s="862"/>
      <c r="B25" s="862"/>
      <c r="C25" s="862"/>
      <c r="D25" s="862"/>
      <c r="E25" s="862"/>
      <c r="F25" s="862"/>
      <c r="G25" s="862"/>
      <c r="H25" s="862"/>
      <c r="I25" s="90"/>
      <c r="J25" s="90"/>
      <c r="K25" s="90"/>
      <c r="L25" s="301"/>
      <c r="N25" s="7">
        <v>355766</v>
      </c>
    </row>
    <row r="26" spans="1:15" ht="14.25" x14ac:dyDescent="0.2">
      <c r="C26" s="7"/>
      <c r="D26" s="7"/>
      <c r="E26" s="7"/>
      <c r="F26" s="7"/>
      <c r="G26" s="7"/>
      <c r="H26" s="7"/>
      <c r="I26" s="7"/>
      <c r="L26" s="258"/>
      <c r="N26" s="7">
        <v>108719</v>
      </c>
    </row>
    <row r="27" spans="1:15" ht="15" x14ac:dyDescent="0.25">
      <c r="A27" s="880"/>
      <c r="B27" s="880"/>
      <c r="C27" s="7"/>
      <c r="D27" s="7"/>
      <c r="E27" s="7"/>
      <c r="F27" s="7"/>
      <c r="G27" s="7"/>
      <c r="H27" s="7"/>
      <c r="I27" s="7"/>
      <c r="K27" s="881"/>
      <c r="L27" s="881"/>
      <c r="N27" s="7">
        <v>506698</v>
      </c>
    </row>
    <row r="28" spans="1:15" x14ac:dyDescent="0.2">
      <c r="N28" s="7">
        <v>83641</v>
      </c>
    </row>
    <row r="29" spans="1:15" x14ac:dyDescent="0.2">
      <c r="N29" s="7">
        <v>76907</v>
      </c>
    </row>
    <row r="30" spans="1:15" x14ac:dyDescent="0.2">
      <c r="N30" s="7">
        <v>265198</v>
      </c>
    </row>
    <row r="31" spans="1:15" x14ac:dyDescent="0.2">
      <c r="N31" s="7">
        <v>74220</v>
      </c>
    </row>
    <row r="32" spans="1:15" x14ac:dyDescent="0.2">
      <c r="N32" s="7">
        <v>606840</v>
      </c>
    </row>
    <row r="33" spans="14:14" x14ac:dyDescent="0.2">
      <c r="N33" s="7">
        <v>6770019</v>
      </c>
    </row>
  </sheetData>
  <mergeCells count="19">
    <mergeCell ref="A4:B4"/>
    <mergeCell ref="C4:D4"/>
    <mergeCell ref="A1:L1"/>
    <mergeCell ref="A2:L2"/>
    <mergeCell ref="G4:K4"/>
    <mergeCell ref="K3:L3"/>
    <mergeCell ref="A27:B27"/>
    <mergeCell ref="K27:L27"/>
    <mergeCell ref="D5:E5"/>
    <mergeCell ref="D6:E6"/>
    <mergeCell ref="B6:C6"/>
    <mergeCell ref="A25:H25"/>
    <mergeCell ref="F5:G5"/>
    <mergeCell ref="F6:G6"/>
    <mergeCell ref="B5:C5"/>
    <mergeCell ref="H5:I5"/>
    <mergeCell ref="H6:I6"/>
    <mergeCell ref="J5:K5"/>
    <mergeCell ref="J6:K6"/>
  </mergeCells>
  <phoneticPr fontId="3" type="noConversion"/>
  <printOptions horizontalCentered="1" verticalCentered="1"/>
  <pageMargins left="0.31" right="0.35" top="1.1499999999999999" bottom="0.98425196850393704" header="0.82" footer="0.511811023622047"/>
  <pageSetup scale="99" orientation="landscape" verticalDpi="300" r:id="rId1"/>
  <headerFooter alignWithMargins="0">
    <oddFooter>&amp;C46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rightToLeft="1" topLeftCell="C4" workbookViewId="0">
      <selection activeCell="Q12" sqref="Q12"/>
    </sheetView>
  </sheetViews>
  <sheetFormatPr defaultRowHeight="12.75" x14ac:dyDescent="0.2"/>
  <cols>
    <col min="1" max="1" width="1" hidden="1" customWidth="1"/>
    <col min="2" max="2" width="3.85546875" hidden="1" customWidth="1"/>
    <col min="3" max="3" width="1.28515625" customWidth="1"/>
    <col min="4" max="4" width="7.7109375" customWidth="1"/>
    <col min="5" max="5" width="7.85546875" customWidth="1"/>
    <col min="6" max="6" width="7.7109375" customWidth="1"/>
    <col min="7" max="7" width="8" customWidth="1"/>
    <col min="15" max="15" width="7" customWidth="1"/>
  </cols>
  <sheetData/>
  <phoneticPr fontId="3" type="noConversion"/>
  <printOptions horizontalCentered="1" verticalCentered="1"/>
  <pageMargins left="0.69" right="0.74803149606299213" top="0.98425196850393704" bottom="1.0900000000000001" header="0.51181102362204722" footer="0.51181102362204722"/>
  <pageSetup scale="95" orientation="landscape" horizontalDpi="4294967293" verticalDpi="1200" r:id="rId1"/>
  <headerFooter alignWithMargins="0">
    <oddFooter>&amp;C11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7"/>
  <sheetViews>
    <sheetView rightToLeft="1" zoomScale="87" zoomScaleNormal="87" zoomScaleSheetLayoutView="100" workbookViewId="0">
      <selection activeCell="G27" sqref="G27"/>
    </sheetView>
  </sheetViews>
  <sheetFormatPr defaultRowHeight="12.75" x14ac:dyDescent="0.2"/>
  <cols>
    <col min="1" max="1" width="8.85546875" customWidth="1"/>
    <col min="2" max="2" width="11.5703125" customWidth="1"/>
    <col min="3" max="3" width="13.28515625" customWidth="1"/>
    <col min="4" max="4" width="11.7109375" customWidth="1"/>
    <col min="5" max="5" width="11.42578125" customWidth="1"/>
    <col min="6" max="6" width="11.7109375" customWidth="1"/>
    <col min="7" max="7" width="10.85546875" customWidth="1"/>
    <col min="8" max="8" width="10" customWidth="1"/>
    <col min="9" max="9" width="11.85546875" customWidth="1"/>
    <col min="10" max="10" width="8.85546875" customWidth="1"/>
    <col min="11" max="11" width="14.5703125" customWidth="1"/>
    <col min="12" max="12" width="19.5703125" customWidth="1"/>
    <col min="13" max="13" width="0.140625" hidden="1" customWidth="1"/>
    <col min="14" max="15" width="9.140625" hidden="1" customWidth="1"/>
    <col min="16" max="16" width="6.28515625" customWidth="1"/>
  </cols>
  <sheetData>
    <row r="1" spans="1:12" ht="16.5" customHeight="1" x14ac:dyDescent="0.2">
      <c r="A1" s="821" t="s">
        <v>433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</row>
    <row r="2" spans="1:12" ht="22.5" customHeight="1" x14ac:dyDescent="0.2">
      <c r="A2" s="823" t="s">
        <v>426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</row>
    <row r="3" spans="1:12" s="7" customFormat="1" ht="22.5" customHeight="1" x14ac:dyDescent="0.25">
      <c r="A3" s="317"/>
      <c r="B3" s="317"/>
      <c r="C3" s="317"/>
      <c r="D3" s="317"/>
      <c r="E3" s="317"/>
      <c r="F3" s="317"/>
      <c r="G3" s="317"/>
      <c r="H3" s="317"/>
      <c r="I3" s="317"/>
      <c r="J3" s="317"/>
      <c r="K3" s="848" t="s">
        <v>223</v>
      </c>
      <c r="L3" s="848"/>
    </row>
    <row r="4" spans="1:12" ht="15" customHeight="1" thickBot="1" x14ac:dyDescent="0.3">
      <c r="A4" s="875" t="s">
        <v>489</v>
      </c>
      <c r="B4" s="875"/>
      <c r="C4" s="875"/>
      <c r="D4" s="875"/>
      <c r="E4" s="27"/>
      <c r="F4" s="27"/>
      <c r="G4" s="850" t="s">
        <v>285</v>
      </c>
      <c r="H4" s="850"/>
      <c r="I4" s="850"/>
      <c r="J4" s="850"/>
      <c r="K4" s="850"/>
      <c r="L4" s="850"/>
    </row>
    <row r="5" spans="1:12" ht="15" customHeight="1" x14ac:dyDescent="0.25">
      <c r="A5" s="34"/>
      <c r="B5" s="861" t="s">
        <v>72</v>
      </c>
      <c r="C5" s="861"/>
      <c r="D5" s="861" t="s">
        <v>73</v>
      </c>
      <c r="E5" s="861"/>
      <c r="F5" s="861" t="s">
        <v>74</v>
      </c>
      <c r="G5" s="861"/>
      <c r="H5" s="861" t="s">
        <v>211</v>
      </c>
      <c r="I5" s="861"/>
      <c r="J5" s="923" t="s">
        <v>200</v>
      </c>
      <c r="K5" s="923"/>
      <c r="L5" s="34"/>
    </row>
    <row r="6" spans="1:12" s="7" customFormat="1" ht="31.5" customHeight="1" x14ac:dyDescent="0.2">
      <c r="A6" s="34"/>
      <c r="B6" s="821" t="s">
        <v>273</v>
      </c>
      <c r="C6" s="821"/>
      <c r="D6" s="821" t="s">
        <v>302</v>
      </c>
      <c r="E6" s="821"/>
      <c r="F6" s="821" t="s">
        <v>323</v>
      </c>
      <c r="G6" s="821"/>
      <c r="H6" s="821" t="s">
        <v>303</v>
      </c>
      <c r="I6" s="821"/>
      <c r="J6" s="924" t="s">
        <v>266</v>
      </c>
      <c r="K6" s="924"/>
      <c r="L6" s="34"/>
    </row>
    <row r="7" spans="1:12" ht="19.5" customHeight="1" x14ac:dyDescent="0.2">
      <c r="A7" s="56"/>
      <c r="B7" s="520" t="s">
        <v>255</v>
      </c>
      <c r="C7" s="58" t="s">
        <v>246</v>
      </c>
      <c r="D7" s="58" t="s">
        <v>70</v>
      </c>
      <c r="E7" s="58" t="s">
        <v>246</v>
      </c>
      <c r="F7" s="58" t="s">
        <v>70</v>
      </c>
      <c r="G7" s="58" t="s">
        <v>246</v>
      </c>
      <c r="H7" s="58" t="s">
        <v>70</v>
      </c>
      <c r="I7" s="58" t="s">
        <v>246</v>
      </c>
      <c r="J7" s="58" t="s">
        <v>255</v>
      </c>
      <c r="K7" s="58" t="s">
        <v>246</v>
      </c>
      <c r="L7" s="35"/>
    </row>
    <row r="8" spans="1:12" s="600" customFormat="1" ht="34.5" customHeight="1" thickBot="1" x14ac:dyDescent="0.25">
      <c r="A8" s="590" t="s">
        <v>52</v>
      </c>
      <c r="B8" s="594" t="s">
        <v>256</v>
      </c>
      <c r="C8" s="594" t="s">
        <v>29</v>
      </c>
      <c r="D8" s="594" t="s">
        <v>136</v>
      </c>
      <c r="E8" s="594" t="s">
        <v>29</v>
      </c>
      <c r="F8" s="594" t="s">
        <v>136</v>
      </c>
      <c r="G8" s="594" t="s">
        <v>29</v>
      </c>
      <c r="H8" s="594" t="s">
        <v>136</v>
      </c>
      <c r="I8" s="594" t="s">
        <v>29</v>
      </c>
      <c r="J8" s="594" t="s">
        <v>138</v>
      </c>
      <c r="K8" s="594" t="s">
        <v>91</v>
      </c>
      <c r="L8" s="63" t="s">
        <v>26</v>
      </c>
    </row>
    <row r="9" spans="1:12" s="447" customFormat="1" ht="15" customHeight="1" x14ac:dyDescent="0.2">
      <c r="A9" s="193" t="s">
        <v>395</v>
      </c>
      <c r="B9" s="303">
        <v>0</v>
      </c>
      <c r="C9" s="303">
        <f>B9*4</f>
        <v>0</v>
      </c>
      <c r="D9" s="303">
        <v>0</v>
      </c>
      <c r="E9" s="303">
        <f>D9*19</f>
        <v>0</v>
      </c>
      <c r="F9" s="303">
        <v>0</v>
      </c>
      <c r="G9" s="303">
        <f>F9*3</f>
        <v>0</v>
      </c>
      <c r="H9" s="789">
        <v>0</v>
      </c>
      <c r="I9" s="789">
        <f>H9*3</f>
        <v>0</v>
      </c>
      <c r="J9" s="303">
        <v>0</v>
      </c>
      <c r="K9" s="303">
        <f>J9*25</f>
        <v>0</v>
      </c>
      <c r="L9" s="693" t="s">
        <v>397</v>
      </c>
    </row>
    <row r="10" spans="1:12" s="211" customFormat="1" ht="15" customHeight="1" x14ac:dyDescent="0.2">
      <c r="A10" s="298" t="s">
        <v>30</v>
      </c>
      <c r="B10" s="305">
        <v>10998</v>
      </c>
      <c r="C10" s="305">
        <f>B10*4</f>
        <v>43992</v>
      </c>
      <c r="D10" s="305">
        <v>0</v>
      </c>
      <c r="E10" s="305">
        <f t="shared" ref="E10:E23" si="0">D10*19</f>
        <v>0</v>
      </c>
      <c r="F10" s="305">
        <v>0</v>
      </c>
      <c r="G10" s="305">
        <f t="shared" ref="G10:G14" si="1">F10*3</f>
        <v>0</v>
      </c>
      <c r="H10" s="786">
        <v>4163</v>
      </c>
      <c r="I10" s="786">
        <f t="shared" ref="I10:I11" si="2">H10*3</f>
        <v>12489</v>
      </c>
      <c r="J10" s="305">
        <v>0</v>
      </c>
      <c r="K10" s="305">
        <f t="shared" ref="K10:K24" si="3">J10*25</f>
        <v>0</v>
      </c>
      <c r="L10" s="694" t="s">
        <v>31</v>
      </c>
    </row>
    <row r="11" spans="1:12" s="447" customFormat="1" ht="15" customHeight="1" x14ac:dyDescent="0.2">
      <c r="A11" s="193" t="s">
        <v>3</v>
      </c>
      <c r="B11" s="303">
        <v>184946</v>
      </c>
      <c r="C11" s="303">
        <f>B11*2</f>
        <v>369892</v>
      </c>
      <c r="D11" s="303">
        <v>2108</v>
      </c>
      <c r="E11" s="303">
        <f t="shared" si="0"/>
        <v>40052</v>
      </c>
      <c r="F11" s="303">
        <v>9153</v>
      </c>
      <c r="G11" s="303">
        <f t="shared" si="1"/>
        <v>27459</v>
      </c>
      <c r="H11" s="789">
        <v>11244</v>
      </c>
      <c r="I11" s="789">
        <f t="shared" si="2"/>
        <v>33732</v>
      </c>
      <c r="J11" s="303">
        <v>0</v>
      </c>
      <c r="K11" s="303">
        <f t="shared" si="3"/>
        <v>0</v>
      </c>
      <c r="L11" s="693" t="s">
        <v>15</v>
      </c>
    </row>
    <row r="12" spans="1:12" s="211" customFormat="1" ht="15" customHeight="1" x14ac:dyDescent="0.2">
      <c r="A12" s="656" t="s">
        <v>381</v>
      </c>
      <c r="B12" s="305">
        <v>1268</v>
      </c>
      <c r="C12" s="305">
        <f>B12*2</f>
        <v>2536</v>
      </c>
      <c r="D12" s="305">
        <v>12</v>
      </c>
      <c r="E12" s="305">
        <f t="shared" si="0"/>
        <v>228</v>
      </c>
      <c r="F12" s="305">
        <v>3</v>
      </c>
      <c r="G12" s="305">
        <f t="shared" si="1"/>
        <v>9</v>
      </c>
      <c r="H12" s="786">
        <v>2346</v>
      </c>
      <c r="I12" s="786">
        <f>H12*2</f>
        <v>4692</v>
      </c>
      <c r="J12" s="305">
        <v>0</v>
      </c>
      <c r="K12" s="305">
        <f t="shared" si="3"/>
        <v>0</v>
      </c>
      <c r="L12" s="694" t="s">
        <v>371</v>
      </c>
    </row>
    <row r="13" spans="1:12" s="447" customFormat="1" ht="15" customHeight="1" x14ac:dyDescent="0.2">
      <c r="A13" s="193" t="s">
        <v>4</v>
      </c>
      <c r="B13" s="303">
        <v>516053</v>
      </c>
      <c r="C13" s="303">
        <f>B13*3</f>
        <v>1548159</v>
      </c>
      <c r="D13" s="303">
        <v>30404</v>
      </c>
      <c r="E13" s="303">
        <f t="shared" si="0"/>
        <v>577676</v>
      </c>
      <c r="F13" s="303">
        <v>28317</v>
      </c>
      <c r="G13" s="303">
        <f t="shared" si="1"/>
        <v>84951</v>
      </c>
      <c r="H13" s="789">
        <v>45292</v>
      </c>
      <c r="I13" s="789">
        <f>H13*3</f>
        <v>135876</v>
      </c>
      <c r="J13" s="303">
        <v>179906</v>
      </c>
      <c r="K13" s="303">
        <f t="shared" si="3"/>
        <v>4497650</v>
      </c>
      <c r="L13" s="693" t="s">
        <v>16</v>
      </c>
    </row>
    <row r="14" spans="1:12" s="211" customFormat="1" ht="15" customHeight="1" x14ac:dyDescent="0.2">
      <c r="A14" s="298" t="s">
        <v>5</v>
      </c>
      <c r="B14" s="305">
        <v>65941</v>
      </c>
      <c r="C14" s="305">
        <f>B14*1</f>
        <v>65941</v>
      </c>
      <c r="D14" s="305">
        <v>3486</v>
      </c>
      <c r="E14" s="305">
        <f t="shared" si="0"/>
        <v>66234</v>
      </c>
      <c r="F14" s="305">
        <v>1941</v>
      </c>
      <c r="G14" s="305">
        <f t="shared" si="1"/>
        <v>5823</v>
      </c>
      <c r="H14" s="786">
        <v>15577</v>
      </c>
      <c r="I14" s="786">
        <f>H14*2</f>
        <v>31154</v>
      </c>
      <c r="J14" s="305">
        <v>0</v>
      </c>
      <c r="K14" s="305">
        <f t="shared" si="3"/>
        <v>0</v>
      </c>
      <c r="L14" s="694" t="s">
        <v>23</v>
      </c>
    </row>
    <row r="15" spans="1:12" s="447" customFormat="1" ht="15" customHeight="1" x14ac:dyDescent="0.2">
      <c r="A15" s="193" t="s">
        <v>6</v>
      </c>
      <c r="B15" s="303">
        <v>47435</v>
      </c>
      <c r="C15" s="303">
        <f>B15*1</f>
        <v>47435</v>
      </c>
      <c r="D15" s="303">
        <v>0</v>
      </c>
      <c r="E15" s="303">
        <f t="shared" si="0"/>
        <v>0</v>
      </c>
      <c r="F15" s="303">
        <v>687</v>
      </c>
      <c r="G15" s="303">
        <f>F15*2</f>
        <v>1374</v>
      </c>
      <c r="H15" s="789">
        <v>5081</v>
      </c>
      <c r="I15" s="789">
        <f>H15*2</f>
        <v>10162</v>
      </c>
      <c r="J15" s="303">
        <v>0</v>
      </c>
      <c r="K15" s="303">
        <f t="shared" si="3"/>
        <v>0</v>
      </c>
      <c r="L15" s="693" t="s">
        <v>24</v>
      </c>
    </row>
    <row r="16" spans="1:12" s="211" customFormat="1" ht="15" customHeight="1" x14ac:dyDescent="0.2">
      <c r="A16" s="298" t="s">
        <v>11</v>
      </c>
      <c r="B16" s="305">
        <v>0</v>
      </c>
      <c r="C16" s="305">
        <f>B16*1</f>
        <v>0</v>
      </c>
      <c r="D16" s="305">
        <v>840</v>
      </c>
      <c r="E16" s="305">
        <f t="shared" si="0"/>
        <v>15960</v>
      </c>
      <c r="F16" s="305">
        <v>3766</v>
      </c>
      <c r="G16" s="305">
        <f t="shared" ref="G16:G22" si="4">F16*2</f>
        <v>7532</v>
      </c>
      <c r="H16" s="786">
        <v>6782</v>
      </c>
      <c r="I16" s="786">
        <f>H16*3</f>
        <v>20346</v>
      </c>
      <c r="J16" s="305">
        <v>5954</v>
      </c>
      <c r="K16" s="305">
        <f t="shared" si="3"/>
        <v>148850</v>
      </c>
      <c r="L16" s="694" t="s">
        <v>21</v>
      </c>
    </row>
    <row r="17" spans="1:12" s="447" customFormat="1" ht="15" customHeight="1" x14ac:dyDescent="0.2">
      <c r="A17" s="193" t="s">
        <v>2</v>
      </c>
      <c r="B17" s="303">
        <v>20870</v>
      </c>
      <c r="C17" s="303">
        <f>B17*3</f>
        <v>62610</v>
      </c>
      <c r="D17" s="303">
        <v>371</v>
      </c>
      <c r="E17" s="303">
        <f t="shared" si="0"/>
        <v>7049</v>
      </c>
      <c r="F17" s="303">
        <v>942</v>
      </c>
      <c r="G17" s="303">
        <f t="shared" si="4"/>
        <v>1884</v>
      </c>
      <c r="H17" s="789">
        <v>2434</v>
      </c>
      <c r="I17" s="789">
        <f>H17*3</f>
        <v>7302</v>
      </c>
      <c r="J17" s="303">
        <v>0</v>
      </c>
      <c r="K17" s="303">
        <f t="shared" si="3"/>
        <v>0</v>
      </c>
      <c r="L17" s="693" t="s">
        <v>14</v>
      </c>
    </row>
    <row r="18" spans="1:12" s="211" customFormat="1" ht="15" customHeight="1" x14ac:dyDescent="0.2">
      <c r="A18" s="298" t="s">
        <v>7</v>
      </c>
      <c r="B18" s="305">
        <v>28396</v>
      </c>
      <c r="C18" s="305">
        <f>B18*2</f>
        <v>56792</v>
      </c>
      <c r="D18" s="305">
        <v>2887</v>
      </c>
      <c r="E18" s="305">
        <f t="shared" si="0"/>
        <v>54853</v>
      </c>
      <c r="F18" s="305">
        <v>2028</v>
      </c>
      <c r="G18" s="305">
        <f t="shared" si="4"/>
        <v>4056</v>
      </c>
      <c r="H18" s="786">
        <v>23778</v>
      </c>
      <c r="I18" s="786">
        <f>H18*2</f>
        <v>47556</v>
      </c>
      <c r="J18" s="305">
        <v>0</v>
      </c>
      <c r="K18" s="305">
        <f t="shared" si="3"/>
        <v>0</v>
      </c>
      <c r="L18" s="694" t="s">
        <v>17</v>
      </c>
    </row>
    <row r="19" spans="1:12" s="447" customFormat="1" ht="15" customHeight="1" x14ac:dyDescent="0.2">
      <c r="A19" s="193" t="s">
        <v>8</v>
      </c>
      <c r="B19" s="303">
        <v>52846</v>
      </c>
      <c r="C19" s="303">
        <f>B19*3</f>
        <v>158538</v>
      </c>
      <c r="D19" s="303">
        <v>2509</v>
      </c>
      <c r="E19" s="303">
        <f t="shared" si="0"/>
        <v>47671</v>
      </c>
      <c r="F19" s="303">
        <v>2031</v>
      </c>
      <c r="G19" s="303">
        <f t="shared" si="4"/>
        <v>4062</v>
      </c>
      <c r="H19" s="789">
        <v>5892</v>
      </c>
      <c r="I19" s="789">
        <f>H19*3</f>
        <v>17676</v>
      </c>
      <c r="J19" s="303">
        <v>0</v>
      </c>
      <c r="K19" s="303">
        <f t="shared" si="3"/>
        <v>0</v>
      </c>
      <c r="L19" s="693" t="s">
        <v>18</v>
      </c>
    </row>
    <row r="20" spans="1:12" s="211" customFormat="1" ht="15" customHeight="1" x14ac:dyDescent="0.2">
      <c r="A20" s="298" t="s">
        <v>9</v>
      </c>
      <c r="B20" s="305">
        <v>36711</v>
      </c>
      <c r="C20" s="305">
        <f>B20*2</f>
        <v>73422</v>
      </c>
      <c r="D20" s="305">
        <v>10375</v>
      </c>
      <c r="E20" s="305">
        <f t="shared" si="0"/>
        <v>197125</v>
      </c>
      <c r="F20" s="305">
        <v>4765</v>
      </c>
      <c r="G20" s="305">
        <f t="shared" si="4"/>
        <v>9530</v>
      </c>
      <c r="H20" s="786">
        <v>7532</v>
      </c>
      <c r="I20" s="786">
        <f>H20*3</f>
        <v>22596</v>
      </c>
      <c r="J20" s="305">
        <v>0</v>
      </c>
      <c r="K20" s="305">
        <f t="shared" si="3"/>
        <v>0</v>
      </c>
      <c r="L20" s="694" t="s">
        <v>19</v>
      </c>
    </row>
    <row r="21" spans="1:12" s="447" customFormat="1" ht="15" customHeight="1" x14ac:dyDescent="0.2">
      <c r="A21" s="193" t="s">
        <v>10</v>
      </c>
      <c r="B21" s="303">
        <v>128742</v>
      </c>
      <c r="C21" s="303">
        <f t="shared" ref="C21:C23" si="5">B21*2</f>
        <v>257484</v>
      </c>
      <c r="D21" s="303">
        <v>902</v>
      </c>
      <c r="E21" s="303">
        <f t="shared" si="0"/>
        <v>17138</v>
      </c>
      <c r="F21" s="303">
        <v>2212</v>
      </c>
      <c r="G21" s="303">
        <f t="shared" si="4"/>
        <v>4424</v>
      </c>
      <c r="H21" s="789">
        <v>19679</v>
      </c>
      <c r="I21" s="789">
        <f>H21*2</f>
        <v>39358</v>
      </c>
      <c r="J21" s="303">
        <v>0</v>
      </c>
      <c r="K21" s="303">
        <f t="shared" si="3"/>
        <v>0</v>
      </c>
      <c r="L21" s="693" t="s">
        <v>20</v>
      </c>
    </row>
    <row r="22" spans="1:12" s="550" customFormat="1" ht="15" customHeight="1" x14ac:dyDescent="0.2">
      <c r="A22" s="298" t="s">
        <v>12</v>
      </c>
      <c r="B22" s="305">
        <v>6509</v>
      </c>
      <c r="C22" s="305">
        <f t="shared" si="5"/>
        <v>13018</v>
      </c>
      <c r="D22" s="305">
        <v>9</v>
      </c>
      <c r="E22" s="305">
        <f t="shared" si="0"/>
        <v>171</v>
      </c>
      <c r="F22" s="305">
        <v>508</v>
      </c>
      <c r="G22" s="305">
        <f t="shared" si="4"/>
        <v>1016</v>
      </c>
      <c r="H22" s="786">
        <v>1288</v>
      </c>
      <c r="I22" s="786">
        <f t="shared" ref="I22:I23" si="6">H22*2</f>
        <v>2576</v>
      </c>
      <c r="J22" s="305">
        <v>0</v>
      </c>
      <c r="K22" s="305">
        <f t="shared" si="3"/>
        <v>0</v>
      </c>
      <c r="L22" s="694" t="s">
        <v>25</v>
      </c>
    </row>
    <row r="23" spans="1:12" s="549" customFormat="1" ht="15" customHeight="1" thickBot="1" x14ac:dyDescent="0.25">
      <c r="A23" s="193" t="s">
        <v>13</v>
      </c>
      <c r="B23" s="303">
        <v>119538</v>
      </c>
      <c r="C23" s="303">
        <f t="shared" si="5"/>
        <v>239076</v>
      </c>
      <c r="D23" s="303">
        <v>0</v>
      </c>
      <c r="E23" s="303">
        <f t="shared" si="0"/>
        <v>0</v>
      </c>
      <c r="F23" s="303">
        <v>0</v>
      </c>
      <c r="G23" s="303">
        <f>F23*3</f>
        <v>0</v>
      </c>
      <c r="H23" s="789">
        <v>16767</v>
      </c>
      <c r="I23" s="789">
        <f t="shared" si="6"/>
        <v>33534</v>
      </c>
      <c r="J23" s="303">
        <v>0</v>
      </c>
      <c r="K23" s="303">
        <f t="shared" si="3"/>
        <v>0</v>
      </c>
      <c r="L23" s="693" t="s">
        <v>22</v>
      </c>
    </row>
    <row r="24" spans="1:12" s="562" customFormat="1" ht="24" customHeight="1" thickBot="1" x14ac:dyDescent="0.25">
      <c r="A24" s="684" t="s">
        <v>0</v>
      </c>
      <c r="B24" s="787">
        <f t="shared" ref="B24:J24" si="7">SUM(B9:B23)</f>
        <v>1220253</v>
      </c>
      <c r="C24" s="787">
        <f t="shared" si="7"/>
        <v>2938895</v>
      </c>
      <c r="D24" s="787">
        <f t="shared" si="7"/>
        <v>53903</v>
      </c>
      <c r="E24" s="787">
        <f>SUM(E9:E23)</f>
        <v>1024157</v>
      </c>
      <c r="F24" s="787">
        <f t="shared" si="7"/>
        <v>56353</v>
      </c>
      <c r="G24" s="787">
        <f t="shared" si="7"/>
        <v>152120</v>
      </c>
      <c r="H24" s="787">
        <f t="shared" si="7"/>
        <v>167855</v>
      </c>
      <c r="I24" s="787">
        <f t="shared" si="7"/>
        <v>419049</v>
      </c>
      <c r="J24" s="810">
        <f t="shared" si="7"/>
        <v>185860</v>
      </c>
      <c r="K24" s="787">
        <f t="shared" si="3"/>
        <v>4646500</v>
      </c>
      <c r="L24" s="695" t="s">
        <v>1</v>
      </c>
    </row>
    <row r="25" spans="1:12" s="7" customFormat="1" ht="24" customHeight="1" x14ac:dyDescent="0.2">
      <c r="A25" s="862"/>
      <c r="B25" s="862"/>
      <c r="C25" s="862"/>
      <c r="D25" s="862"/>
      <c r="E25" s="862"/>
      <c r="F25" s="862"/>
      <c r="G25" s="862"/>
      <c r="H25" s="862"/>
      <c r="I25" s="90"/>
      <c r="J25" s="90"/>
      <c r="K25" s="90"/>
      <c r="L25" s="56"/>
    </row>
    <row r="26" spans="1:12" ht="14.25" x14ac:dyDescent="0.2">
      <c r="C26" s="7"/>
      <c r="D26" s="7"/>
      <c r="E26" s="7"/>
      <c r="F26" s="7"/>
      <c r="G26" s="7"/>
      <c r="H26" s="6"/>
      <c r="I26" s="6"/>
      <c r="J26" s="7"/>
      <c r="L26" s="258"/>
    </row>
    <row r="27" spans="1:12" ht="15" customHeight="1" x14ac:dyDescent="0.25">
      <c r="A27" s="880"/>
      <c r="B27" s="880"/>
      <c r="C27" s="7"/>
      <c r="D27" s="7"/>
      <c r="E27" s="7"/>
      <c r="F27" s="7"/>
      <c r="G27" s="84"/>
      <c r="H27" s="6"/>
      <c r="I27" s="7"/>
      <c r="J27" s="881"/>
      <c r="K27" s="881"/>
      <c r="L27" s="881"/>
    </row>
  </sheetData>
  <mergeCells count="18">
    <mergeCell ref="D6:E6"/>
    <mergeCell ref="B5:C5"/>
    <mergeCell ref="B6:C6"/>
    <mergeCell ref="K3:L3"/>
    <mergeCell ref="A27:B27"/>
    <mergeCell ref="J27:L27"/>
    <mergeCell ref="A1:L1"/>
    <mergeCell ref="A2:L2"/>
    <mergeCell ref="G4:L4"/>
    <mergeCell ref="A4:D4"/>
    <mergeCell ref="A25:H25"/>
    <mergeCell ref="J5:K5"/>
    <mergeCell ref="J6:K6"/>
    <mergeCell ref="H6:I6"/>
    <mergeCell ref="H5:I5"/>
    <mergeCell ref="F5:G5"/>
    <mergeCell ref="F6:G6"/>
    <mergeCell ref="D5:E5"/>
  </mergeCells>
  <phoneticPr fontId="3" type="noConversion"/>
  <printOptions horizontalCentered="1" verticalCentered="1"/>
  <pageMargins left="0.33" right="0.2" top="0.78740157480314965" bottom="0.78740157480314965" header="0.78740157480314965" footer="0.43307086614173229"/>
  <pageSetup scale="93" orientation="landscape" horizontalDpi="4294967293" verticalDpi="300" r:id="rId1"/>
  <headerFooter alignWithMargins="0">
    <oddFooter>&amp;C47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Q27"/>
  <sheetViews>
    <sheetView rightToLeft="1" view="pageLayout" zoomScaleSheetLayoutView="106" workbookViewId="0">
      <selection activeCell="G9" sqref="G9"/>
    </sheetView>
  </sheetViews>
  <sheetFormatPr defaultRowHeight="12.75" x14ac:dyDescent="0.2"/>
  <cols>
    <col min="1" max="1" width="11.140625" customWidth="1"/>
    <col min="2" max="2" width="11.7109375" customWidth="1"/>
    <col min="3" max="3" width="14" customWidth="1"/>
    <col min="4" max="4" width="16.28515625" customWidth="1"/>
    <col min="5" max="5" width="15.140625" customWidth="1"/>
    <col min="6" max="6" width="14.140625" customWidth="1"/>
    <col min="7" max="7" width="15.85546875" customWidth="1"/>
    <col min="8" max="8" width="16.85546875" customWidth="1"/>
    <col min="9" max="9" width="9.140625" hidden="1" customWidth="1"/>
    <col min="10" max="10" width="4.140625" hidden="1" customWidth="1"/>
    <col min="11" max="13" width="9.140625" hidden="1" customWidth="1"/>
    <col min="14" max="14" width="4.140625" hidden="1" customWidth="1"/>
    <col min="15" max="17" width="9.140625" hidden="1" customWidth="1"/>
  </cols>
  <sheetData>
    <row r="1" spans="1:11" ht="15" customHeight="1" x14ac:dyDescent="0.2">
      <c r="A1" s="821" t="s">
        <v>430</v>
      </c>
      <c r="B1" s="821"/>
      <c r="C1" s="821"/>
      <c r="D1" s="821"/>
      <c r="E1" s="821"/>
      <c r="F1" s="821"/>
      <c r="G1" s="821"/>
      <c r="H1" s="821"/>
    </row>
    <row r="2" spans="1:11" ht="17.25" customHeight="1" x14ac:dyDescent="0.2">
      <c r="A2" s="823" t="s">
        <v>436</v>
      </c>
      <c r="B2" s="823"/>
      <c r="C2" s="823"/>
      <c r="D2" s="823"/>
      <c r="E2" s="823"/>
      <c r="F2" s="823"/>
      <c r="G2" s="823"/>
      <c r="H2" s="823"/>
    </row>
    <row r="3" spans="1:11" s="7" customFormat="1" ht="27" customHeight="1" x14ac:dyDescent="0.25">
      <c r="A3" s="317"/>
      <c r="B3" s="317"/>
      <c r="C3" s="317"/>
      <c r="D3" s="317"/>
      <c r="E3" s="317"/>
      <c r="F3" s="317"/>
      <c r="G3" s="317"/>
      <c r="H3" s="409"/>
    </row>
    <row r="4" spans="1:11" ht="31.5" customHeight="1" thickBot="1" x14ac:dyDescent="0.3">
      <c r="A4" s="875" t="s">
        <v>487</v>
      </c>
      <c r="B4" s="875"/>
      <c r="C4" s="137" t="s">
        <v>491</v>
      </c>
      <c r="D4" s="21"/>
      <c r="E4" s="21"/>
      <c r="F4" s="866" t="s">
        <v>185</v>
      </c>
      <c r="G4" s="866"/>
      <c r="H4" s="341" t="s">
        <v>347</v>
      </c>
    </row>
    <row r="5" spans="1:11" ht="15" customHeight="1" x14ac:dyDescent="0.25">
      <c r="A5" s="41"/>
      <c r="B5" s="861" t="s">
        <v>67</v>
      </c>
      <c r="C5" s="861"/>
      <c r="D5" s="209" t="s">
        <v>180</v>
      </c>
      <c r="E5" s="209"/>
      <c r="F5" s="209" t="s">
        <v>68</v>
      </c>
      <c r="G5" s="135"/>
      <c r="H5" s="41"/>
    </row>
    <row r="6" spans="1:11" s="7" customFormat="1" ht="15" customHeight="1" x14ac:dyDescent="0.25">
      <c r="A6" s="45"/>
      <c r="B6" s="821" t="s">
        <v>358</v>
      </c>
      <c r="C6" s="821"/>
      <c r="D6" s="57" t="s">
        <v>267</v>
      </c>
      <c r="E6" s="57"/>
      <c r="F6" s="57" t="s">
        <v>322</v>
      </c>
      <c r="G6" s="34"/>
      <c r="H6" s="45"/>
    </row>
    <row r="7" spans="1:11" ht="15" customHeight="1" x14ac:dyDescent="0.2">
      <c r="A7" s="672"/>
      <c r="B7" s="671" t="s">
        <v>69</v>
      </c>
      <c r="C7" s="671" t="s">
        <v>246</v>
      </c>
      <c r="D7" s="671" t="s">
        <v>257</v>
      </c>
      <c r="E7" s="671" t="s">
        <v>246</v>
      </c>
      <c r="F7" s="671" t="s">
        <v>209</v>
      </c>
      <c r="G7" s="671" t="s">
        <v>246</v>
      </c>
      <c r="H7" s="672"/>
    </row>
    <row r="8" spans="1:11" ht="15" customHeight="1" x14ac:dyDescent="0.2">
      <c r="A8" s="56" t="s">
        <v>52</v>
      </c>
      <c r="B8" s="670" t="s">
        <v>139</v>
      </c>
      <c r="C8" s="58" t="s">
        <v>29</v>
      </c>
      <c r="D8" s="58" t="s">
        <v>258</v>
      </c>
      <c r="E8" s="58" t="s">
        <v>29</v>
      </c>
      <c r="F8" s="58" t="s">
        <v>259</v>
      </c>
      <c r="G8" s="58" t="s">
        <v>29</v>
      </c>
      <c r="H8" s="56" t="s">
        <v>26</v>
      </c>
    </row>
    <row r="9" spans="1:11" s="703" customFormat="1" ht="15" customHeight="1" x14ac:dyDescent="0.2">
      <c r="A9" s="701" t="s">
        <v>395</v>
      </c>
      <c r="B9" s="702">
        <v>423</v>
      </c>
      <c r="C9" s="702">
        <f>B925</f>
        <v>0</v>
      </c>
      <c r="D9" s="702">
        <v>4754</v>
      </c>
      <c r="E9" s="788">
        <f>D9*6</f>
        <v>28524</v>
      </c>
      <c r="F9" s="789">
        <v>0</v>
      </c>
      <c r="G9" s="303">
        <f>F9*300</f>
        <v>0</v>
      </c>
      <c r="H9" s="702" t="s">
        <v>397</v>
      </c>
    </row>
    <row r="10" spans="1:11" s="7" customFormat="1" ht="15" customHeight="1" x14ac:dyDescent="0.2">
      <c r="A10" s="309" t="s">
        <v>30</v>
      </c>
      <c r="B10" s="304">
        <v>8635</v>
      </c>
      <c r="C10" s="304">
        <f>B10*30</f>
        <v>259050</v>
      </c>
      <c r="D10" s="304">
        <v>45393</v>
      </c>
      <c r="E10" s="790">
        <f>D10*7</f>
        <v>317751</v>
      </c>
      <c r="F10" s="790">
        <v>1005</v>
      </c>
      <c r="G10" s="304">
        <f>F10*378</f>
        <v>379890</v>
      </c>
      <c r="H10" s="304" t="s">
        <v>31</v>
      </c>
    </row>
    <row r="11" spans="1:11" s="447" customFormat="1" ht="15" customHeight="1" x14ac:dyDescent="0.2">
      <c r="A11" s="308" t="s">
        <v>3</v>
      </c>
      <c r="B11" s="303">
        <v>18585</v>
      </c>
      <c r="C11" s="303">
        <f>B11*15</f>
        <v>278775</v>
      </c>
      <c r="D11" s="303">
        <v>94658</v>
      </c>
      <c r="E11" s="789">
        <f>D11*5</f>
        <v>473290</v>
      </c>
      <c r="F11" s="789">
        <v>0</v>
      </c>
      <c r="G11" s="789">
        <f>F11*416</f>
        <v>0</v>
      </c>
      <c r="H11" s="303" t="s">
        <v>15</v>
      </c>
    </row>
    <row r="12" spans="1:11" s="211" customFormat="1" ht="15" customHeight="1" x14ac:dyDescent="0.2">
      <c r="A12" s="310" t="s">
        <v>381</v>
      </c>
      <c r="B12" s="305">
        <v>2370</v>
      </c>
      <c r="C12" s="305">
        <f>B12*30</f>
        <v>71100</v>
      </c>
      <c r="D12" s="305">
        <v>19449</v>
      </c>
      <c r="E12" s="786">
        <f t="shared" ref="E12:E14" si="0">D12*5</f>
        <v>97245</v>
      </c>
      <c r="F12" s="786">
        <v>0</v>
      </c>
      <c r="G12" s="786">
        <f>F12*450</f>
        <v>0</v>
      </c>
      <c r="H12" s="305" t="s">
        <v>371</v>
      </c>
    </row>
    <row r="13" spans="1:11" s="447" customFormat="1" ht="15" customHeight="1" x14ac:dyDescent="0.2">
      <c r="A13" s="308" t="s">
        <v>4</v>
      </c>
      <c r="B13" s="303">
        <v>88309</v>
      </c>
      <c r="C13" s="303">
        <f>B13*25</f>
        <v>2207725</v>
      </c>
      <c r="D13" s="303">
        <v>160100</v>
      </c>
      <c r="E13" s="789">
        <f t="shared" si="0"/>
        <v>800500</v>
      </c>
      <c r="F13" s="789">
        <v>0</v>
      </c>
      <c r="G13" s="789">
        <f>F13*458</f>
        <v>0</v>
      </c>
      <c r="H13" s="303" t="s">
        <v>16</v>
      </c>
    </row>
    <row r="14" spans="1:11" s="211" customFormat="1" ht="15" customHeight="1" x14ac:dyDescent="0.2">
      <c r="A14" s="310" t="s">
        <v>5</v>
      </c>
      <c r="B14" s="305">
        <v>9341</v>
      </c>
      <c r="C14" s="305">
        <f>B14*25</f>
        <v>233525</v>
      </c>
      <c r="D14" s="305">
        <v>53320</v>
      </c>
      <c r="E14" s="786">
        <f t="shared" si="0"/>
        <v>266600</v>
      </c>
      <c r="F14" s="786">
        <v>0</v>
      </c>
      <c r="G14" s="786">
        <f>F14*450</f>
        <v>0</v>
      </c>
      <c r="H14" s="305" t="s">
        <v>23</v>
      </c>
    </row>
    <row r="15" spans="1:11" ht="15" customHeight="1" x14ac:dyDescent="0.2">
      <c r="A15" s="308" t="s">
        <v>6</v>
      </c>
      <c r="B15" s="303">
        <v>13807</v>
      </c>
      <c r="C15" s="303">
        <f>B15*35</f>
        <v>483245</v>
      </c>
      <c r="D15" s="303">
        <v>20421</v>
      </c>
      <c r="E15" s="789">
        <f>D15*4</f>
        <v>81684</v>
      </c>
      <c r="F15" s="789">
        <v>0</v>
      </c>
      <c r="G15" s="789">
        <f>F15*450</f>
        <v>0</v>
      </c>
      <c r="H15" s="303" t="s">
        <v>24</v>
      </c>
      <c r="J15" s="7"/>
      <c r="K15" s="7"/>
    </row>
    <row r="16" spans="1:11" s="211" customFormat="1" ht="15" customHeight="1" x14ac:dyDescent="0.2">
      <c r="A16" s="310" t="s">
        <v>11</v>
      </c>
      <c r="B16" s="305">
        <v>13179</v>
      </c>
      <c r="C16" s="305">
        <f>B16*25</f>
        <v>329475</v>
      </c>
      <c r="D16" s="305">
        <v>48450</v>
      </c>
      <c r="E16" s="786">
        <f>D16*4</f>
        <v>193800</v>
      </c>
      <c r="F16" s="786">
        <v>0</v>
      </c>
      <c r="G16" s="786">
        <f>F16*416</f>
        <v>0</v>
      </c>
      <c r="H16" s="305" t="s">
        <v>21</v>
      </c>
    </row>
    <row r="17" spans="1:11" ht="15" customHeight="1" x14ac:dyDescent="0.2">
      <c r="A17" s="308" t="s">
        <v>2</v>
      </c>
      <c r="B17" s="303">
        <v>3809</v>
      </c>
      <c r="C17" s="303">
        <f>B17*25</f>
        <v>95225</v>
      </c>
      <c r="D17" s="303">
        <v>31589</v>
      </c>
      <c r="E17" s="789">
        <f>D17*7</f>
        <v>221123</v>
      </c>
      <c r="F17" s="789">
        <v>0</v>
      </c>
      <c r="G17" s="789">
        <f>F17*388</f>
        <v>0</v>
      </c>
      <c r="H17" s="303" t="s">
        <v>14</v>
      </c>
      <c r="J17" s="7"/>
      <c r="K17" s="7"/>
    </row>
    <row r="18" spans="1:11" ht="15" customHeight="1" x14ac:dyDescent="0.2">
      <c r="A18" s="310" t="s">
        <v>7</v>
      </c>
      <c r="B18" s="305">
        <v>14214</v>
      </c>
      <c r="C18" s="305">
        <f>B18*20</f>
        <v>284280</v>
      </c>
      <c r="D18" s="305">
        <v>18763</v>
      </c>
      <c r="E18" s="786">
        <f>D18*4</f>
        <v>75052</v>
      </c>
      <c r="F18" s="786">
        <v>0</v>
      </c>
      <c r="G18" s="786">
        <f>F18*450</f>
        <v>0</v>
      </c>
      <c r="H18" s="305" t="s">
        <v>17</v>
      </c>
      <c r="J18" s="7"/>
      <c r="K18" s="7"/>
    </row>
    <row r="19" spans="1:11" s="450" customFormat="1" ht="15" customHeight="1" x14ac:dyDescent="0.2">
      <c r="A19" s="699" t="s">
        <v>8</v>
      </c>
      <c r="B19" s="700">
        <v>4954</v>
      </c>
      <c r="C19" s="700">
        <f>B19*25</f>
        <v>123850</v>
      </c>
      <c r="D19" s="700">
        <v>26026</v>
      </c>
      <c r="E19" s="785">
        <f>D19*4</f>
        <v>104104</v>
      </c>
      <c r="F19" s="785">
        <v>0</v>
      </c>
      <c r="G19" s="785">
        <f>F19*416</f>
        <v>0</v>
      </c>
      <c r="H19" s="700" t="s">
        <v>18</v>
      </c>
    </row>
    <row r="20" spans="1:11" s="211" customFormat="1" ht="15" customHeight="1" x14ac:dyDescent="0.2">
      <c r="A20" s="310" t="s">
        <v>9</v>
      </c>
      <c r="B20" s="305">
        <v>5117</v>
      </c>
      <c r="C20" s="305">
        <f t="shared" ref="C20:C23" si="1">B20*25</f>
        <v>127925</v>
      </c>
      <c r="D20" s="305">
        <v>62049</v>
      </c>
      <c r="E20" s="786">
        <f t="shared" ref="E20:E21" si="2">D20*4</f>
        <v>248196</v>
      </c>
      <c r="F20" s="786">
        <v>0</v>
      </c>
      <c r="G20" s="786">
        <f>F20*450</f>
        <v>0</v>
      </c>
      <c r="H20" s="305" t="s">
        <v>19</v>
      </c>
    </row>
    <row r="21" spans="1:11" s="450" customFormat="1" ht="15" customHeight="1" x14ac:dyDescent="0.2">
      <c r="A21" s="699" t="s">
        <v>10</v>
      </c>
      <c r="B21" s="700">
        <v>40927</v>
      </c>
      <c r="C21" s="700">
        <f t="shared" si="1"/>
        <v>1023175</v>
      </c>
      <c r="D21" s="700">
        <v>90554</v>
      </c>
      <c r="E21" s="785">
        <f t="shared" si="2"/>
        <v>362216</v>
      </c>
      <c r="F21" s="785">
        <v>0</v>
      </c>
      <c r="G21" s="785">
        <f>F21*400</f>
        <v>0</v>
      </c>
      <c r="H21" s="700" t="s">
        <v>20</v>
      </c>
    </row>
    <row r="22" spans="1:11" s="211" customFormat="1" ht="15" customHeight="1" x14ac:dyDescent="0.2">
      <c r="A22" s="310" t="s">
        <v>12</v>
      </c>
      <c r="B22" s="305">
        <v>4599</v>
      </c>
      <c r="C22" s="305">
        <f t="shared" si="1"/>
        <v>114975</v>
      </c>
      <c r="D22" s="305">
        <v>25681</v>
      </c>
      <c r="E22" s="786">
        <f>D22*5</f>
        <v>128405</v>
      </c>
      <c r="F22" s="786">
        <v>0</v>
      </c>
      <c r="G22" s="786">
        <f>F22*400</f>
        <v>0</v>
      </c>
      <c r="H22" s="305" t="s">
        <v>25</v>
      </c>
    </row>
    <row r="23" spans="1:11" s="698" customFormat="1" ht="15" customHeight="1" thickBot="1" x14ac:dyDescent="0.25">
      <c r="A23" s="696" t="s">
        <v>13</v>
      </c>
      <c r="B23" s="697">
        <v>9897</v>
      </c>
      <c r="C23" s="697">
        <f t="shared" si="1"/>
        <v>247425</v>
      </c>
      <c r="D23" s="697">
        <v>47762</v>
      </c>
      <c r="E23" s="791">
        <f>D23*6</f>
        <v>286572</v>
      </c>
      <c r="F23" s="791">
        <v>0</v>
      </c>
      <c r="G23" s="791">
        <f>F23*450</f>
        <v>0</v>
      </c>
      <c r="H23" s="697" t="s">
        <v>22</v>
      </c>
    </row>
    <row r="24" spans="1:11" s="211" customFormat="1" ht="15.75" customHeight="1" thickBot="1" x14ac:dyDescent="0.25">
      <c r="A24" s="311" t="s">
        <v>0</v>
      </c>
      <c r="B24" s="312">
        <f t="shared" ref="B24:G24" si="3">SUM(B9:B23)</f>
        <v>238166</v>
      </c>
      <c r="C24" s="312">
        <f t="shared" si="3"/>
        <v>5879750</v>
      </c>
      <c r="D24" s="312">
        <f t="shared" si="3"/>
        <v>748969</v>
      </c>
      <c r="E24" s="312">
        <f t="shared" si="3"/>
        <v>3685062</v>
      </c>
      <c r="F24" s="312">
        <f t="shared" si="3"/>
        <v>1005</v>
      </c>
      <c r="G24" s="792">
        <f t="shared" si="3"/>
        <v>379890</v>
      </c>
      <c r="H24" s="312" t="s">
        <v>1</v>
      </c>
    </row>
    <row r="25" spans="1:11" s="7" customFormat="1" ht="15.75" customHeight="1" thickTop="1" x14ac:dyDescent="0.2">
      <c r="A25" s="862"/>
      <c r="B25" s="862"/>
      <c r="C25" s="862"/>
      <c r="D25" s="862"/>
      <c r="E25" s="862"/>
      <c r="F25" s="862"/>
      <c r="G25" s="90"/>
      <c r="H25" s="56"/>
    </row>
    <row r="26" spans="1:11" ht="14.25" x14ac:dyDescent="0.2">
      <c r="C26" s="7"/>
      <c r="D26" s="7"/>
      <c r="E26" s="7"/>
      <c r="F26" s="6"/>
      <c r="G26" s="6"/>
      <c r="H26" s="258"/>
    </row>
    <row r="27" spans="1:11" ht="15" customHeight="1" x14ac:dyDescent="0.25">
      <c r="A27" s="880"/>
      <c r="B27" s="880"/>
      <c r="C27" s="7"/>
      <c r="D27" s="7"/>
      <c r="E27" s="84"/>
      <c r="F27" s="6"/>
      <c r="G27" s="7"/>
      <c r="H27" s="411"/>
      <c r="I27" s="56"/>
    </row>
  </sheetData>
  <mergeCells count="8">
    <mergeCell ref="A27:B27"/>
    <mergeCell ref="A1:H1"/>
    <mergeCell ref="A2:H2"/>
    <mergeCell ref="F4:G4"/>
    <mergeCell ref="A4:B4"/>
    <mergeCell ref="B5:C5"/>
    <mergeCell ref="B6:C6"/>
    <mergeCell ref="A25:F25"/>
  </mergeCells>
  <phoneticPr fontId="3" type="noConversion"/>
  <printOptions horizontalCentered="1" verticalCentered="1"/>
  <pageMargins left="0.19685039370078741" right="0.54" top="0.77" bottom="0.98425196850393704" header="0.86" footer="0.51181102362204722"/>
  <pageSetup orientation="landscape" verticalDpi="300" r:id="rId1"/>
  <headerFooter alignWithMargins="0">
    <oddFooter>&amp;C48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view="pageLayout" zoomScaleSheetLayoutView="100" workbookViewId="0">
      <selection activeCell="L25" sqref="L25"/>
    </sheetView>
  </sheetViews>
  <sheetFormatPr defaultRowHeight="12.75" x14ac:dyDescent="0.2"/>
  <cols>
    <col min="1" max="1" width="10.140625" customWidth="1"/>
    <col min="2" max="2" width="8.42578125" customWidth="1"/>
    <col min="3" max="3" width="10.140625" customWidth="1"/>
    <col min="4" max="4" width="8.85546875" customWidth="1"/>
    <col min="5" max="5" width="10.28515625" customWidth="1"/>
    <col min="6" max="6" width="8.85546875" customWidth="1"/>
    <col min="7" max="7" width="10.28515625" customWidth="1"/>
    <col min="8" max="8" width="18" style="7" customWidth="1"/>
    <col min="9" max="9" width="19.28515625" style="7" customWidth="1"/>
    <col min="10" max="10" width="16.5703125" customWidth="1"/>
    <col min="11" max="11" width="0.42578125" hidden="1" customWidth="1"/>
  </cols>
  <sheetData>
    <row r="1" spans="1:11" ht="15" x14ac:dyDescent="0.2">
      <c r="A1" s="821" t="s">
        <v>433</v>
      </c>
      <c r="B1" s="821"/>
      <c r="C1" s="821"/>
      <c r="D1" s="821"/>
      <c r="E1" s="821"/>
      <c r="F1" s="821"/>
      <c r="G1" s="821"/>
      <c r="H1" s="821"/>
      <c r="I1" s="821"/>
      <c r="J1" s="821"/>
    </row>
    <row r="2" spans="1:11" ht="12.75" customHeight="1" x14ac:dyDescent="0.2">
      <c r="A2" s="823" t="s">
        <v>437</v>
      </c>
      <c r="B2" s="823"/>
      <c r="C2" s="823"/>
      <c r="D2" s="823"/>
      <c r="E2" s="823"/>
      <c r="F2" s="823"/>
      <c r="G2" s="823"/>
      <c r="H2" s="823"/>
      <c r="I2" s="823"/>
      <c r="J2" s="823"/>
    </row>
    <row r="3" spans="1:11" s="7" customFormat="1" ht="12.75" customHeight="1" x14ac:dyDescent="0.2">
      <c r="A3" s="317"/>
      <c r="B3" s="317"/>
      <c r="C3" s="317"/>
      <c r="D3" s="317"/>
      <c r="E3" s="317"/>
      <c r="F3" s="317"/>
      <c r="G3" s="317"/>
      <c r="H3" s="419"/>
      <c r="I3" s="419"/>
      <c r="J3" s="317"/>
    </row>
    <row r="4" spans="1:11" ht="63" customHeight="1" thickBot="1" x14ac:dyDescent="0.25">
      <c r="A4" s="875" t="s">
        <v>483</v>
      </c>
      <c r="B4" s="875"/>
      <c r="C4" s="925" t="s">
        <v>184</v>
      </c>
      <c r="D4" s="925"/>
      <c r="E4" s="925"/>
      <c r="F4" s="851" t="s">
        <v>185</v>
      </c>
      <c r="G4" s="851"/>
      <c r="H4" s="420"/>
      <c r="I4" s="420"/>
      <c r="J4" s="341" t="s">
        <v>347</v>
      </c>
    </row>
    <row r="5" spans="1:11" ht="15" customHeight="1" x14ac:dyDescent="0.25">
      <c r="A5" s="41"/>
      <c r="B5" s="861" t="s">
        <v>260</v>
      </c>
      <c r="C5" s="861"/>
      <c r="D5" s="861" t="s">
        <v>261</v>
      </c>
      <c r="E5" s="861"/>
      <c r="F5" s="861" t="s">
        <v>269</v>
      </c>
      <c r="G5" s="861"/>
      <c r="H5" s="861" t="s">
        <v>0</v>
      </c>
      <c r="I5" s="861"/>
      <c r="J5" s="41"/>
    </row>
    <row r="6" spans="1:11" s="211" customFormat="1" ht="30" customHeight="1" x14ac:dyDescent="0.25">
      <c r="A6" s="216"/>
      <c r="B6" s="846" t="s">
        <v>268</v>
      </c>
      <c r="C6" s="846"/>
      <c r="D6" s="846" t="s">
        <v>304</v>
      </c>
      <c r="E6" s="846"/>
      <c r="F6" s="926" t="s">
        <v>359</v>
      </c>
      <c r="G6" s="926"/>
      <c r="H6" s="926" t="s">
        <v>115</v>
      </c>
      <c r="I6" s="926"/>
      <c r="J6" s="62" t="s">
        <v>223</v>
      </c>
      <c r="K6" s="332"/>
    </row>
    <row r="7" spans="1:11" ht="15" customHeight="1" x14ac:dyDescent="0.25">
      <c r="A7" s="216"/>
      <c r="B7" s="670" t="s">
        <v>202</v>
      </c>
      <c r="C7" s="670" t="s">
        <v>246</v>
      </c>
      <c r="D7" s="670" t="s">
        <v>44</v>
      </c>
      <c r="E7" s="670" t="s">
        <v>246</v>
      </c>
      <c r="F7" s="670" t="s">
        <v>202</v>
      </c>
      <c r="G7" s="670" t="s">
        <v>246</v>
      </c>
      <c r="H7" s="670" t="s">
        <v>202</v>
      </c>
      <c r="I7" s="670" t="s">
        <v>246</v>
      </c>
      <c r="J7" s="44"/>
    </row>
    <row r="8" spans="1:11" s="3" customFormat="1" ht="15" customHeight="1" x14ac:dyDescent="0.2">
      <c r="A8" s="56" t="s">
        <v>52</v>
      </c>
      <c r="B8" s="670" t="s">
        <v>138</v>
      </c>
      <c r="C8" s="58" t="s">
        <v>199</v>
      </c>
      <c r="D8" s="58" t="s">
        <v>45</v>
      </c>
      <c r="E8" s="58" t="s">
        <v>199</v>
      </c>
      <c r="F8" s="58" t="s">
        <v>138</v>
      </c>
      <c r="G8" s="58" t="s">
        <v>199</v>
      </c>
      <c r="H8" s="58" t="s">
        <v>138</v>
      </c>
      <c r="I8" s="58" t="s">
        <v>199</v>
      </c>
      <c r="J8" s="35" t="s">
        <v>26</v>
      </c>
    </row>
    <row r="9" spans="1:11" s="705" customFormat="1" ht="15" customHeight="1" x14ac:dyDescent="0.2">
      <c r="A9" s="699" t="s">
        <v>395</v>
      </c>
      <c r="B9" s="700">
        <v>0</v>
      </c>
      <c r="C9" s="700">
        <f>B9*15</f>
        <v>0</v>
      </c>
      <c r="D9" s="700">
        <v>489</v>
      </c>
      <c r="E9" s="700">
        <f>D9*20</f>
        <v>9780</v>
      </c>
      <c r="F9" s="700">
        <v>0</v>
      </c>
      <c r="G9" s="700">
        <f>F9*50</f>
        <v>0</v>
      </c>
      <c r="H9" s="700">
        <f>'مواد انشائيه1'!B9+'مواد انشائيه1'!D9+'مواد انشائيه1'!F9+'مواد انشائيه1'!H9+'مواد انشائيه1'!J9+'مواد انشائيه2'!B9+'مواد انشائيه2'!D9+'مواد انشائيه2'!F9+'مواد انشائيه2'!H9+'مواد انشائيه2'!J9+'مواد انشائيه3'!B9+'مواد انشائيه3'!D9+'مواد انشائيه3'!F9+'مواد انشائيه4'!B9+'مواد انشائيه4'!D9+'مواد انشائيه4'!F9</f>
        <v>21395</v>
      </c>
      <c r="I9" s="700">
        <f>'مواد انشائيه1'!C9+'مواد انشائيه1'!E9+'مواد انشائيه1'!G9+'مواد انشائيه1'!I9+'مواد انشائيه1'!K9+'مواد انشائيه2'!C9+'مواد انشائيه2'!E9+'مواد انشائيه2'!G9+'مواد انشائيه2'!I9+'مواد انشائيه2'!K9+'مواد انشائيه3'!C9+'مواد انشائيه3'!E9+'مواد انشائيه3'!G9+'مواد انشائيه4'!C9+'مواد انشائيه4'!E9+'مواد انشائيه4'!G9</f>
        <v>230993</v>
      </c>
      <c r="J9" s="700" t="s">
        <v>397</v>
      </c>
    </row>
    <row r="10" spans="1:11" s="211" customFormat="1" ht="15" customHeight="1" x14ac:dyDescent="0.2">
      <c r="A10" s="310" t="s">
        <v>30</v>
      </c>
      <c r="B10" s="305">
        <v>0</v>
      </c>
      <c r="C10" s="305">
        <f>B10*10</f>
        <v>0</v>
      </c>
      <c r="D10" s="305">
        <v>3657</v>
      </c>
      <c r="E10" s="305">
        <f>D10*20</f>
        <v>73140</v>
      </c>
      <c r="F10" s="305">
        <v>0</v>
      </c>
      <c r="G10" s="305">
        <f>F10*45</f>
        <v>0</v>
      </c>
      <c r="H10" s="305">
        <f>'مواد انشائيه1'!B10+'مواد انشائيه1'!D10+'مواد انشائيه1'!F10+'مواد انشائيه1'!H10+'مواد انشائيه1'!J10+'مواد انشائيه2'!B10+'مواد انشائيه2'!D10+'مواد انشائيه2'!F10+'مواد انشائيه2'!H10+'مواد انشائيه2'!J10+'مواد انشائيه3'!B10+'مواد انشائيه3'!D10+'مواد انشائيه3'!F10+'مواد انشائيه4'!B10+'مواد انشائيه4'!D10+'مواد انشائيه4'!F10</f>
        <v>278542</v>
      </c>
      <c r="I10" s="305">
        <f>'مواد انشائيه1'!C10+'مواد انشائيه1'!E10+'مواد انشائيه1'!G10+'مواد انشائيه1'!I10+'مواد انشائيه1'!K10+'مواد انشائيه2'!C10+'مواد انشائيه2'!E10+'مواد انشائيه2'!G10+'مواد انشائيه2'!I10+'مواد انشائيه2'!K10+'مواد انشائيه3'!C10+'مواد انشائيه3'!E10+'مواد انشائيه3'!G10+'مواد انشائيه4'!C10+'مواد انشائيه4'!E10+'مواد انشائيه4'!G10</f>
        <v>3572354</v>
      </c>
      <c r="J10" s="305" t="s">
        <v>31</v>
      </c>
    </row>
    <row r="11" spans="1:11" s="450" customFormat="1" ht="15" customHeight="1" x14ac:dyDescent="0.2">
      <c r="A11" s="699" t="s">
        <v>3</v>
      </c>
      <c r="B11" s="700">
        <v>0</v>
      </c>
      <c r="C11" s="700">
        <f>B11*6</f>
        <v>0</v>
      </c>
      <c r="D11" s="700">
        <v>3890</v>
      </c>
      <c r="E11" s="700">
        <f>D11*30</f>
        <v>116700</v>
      </c>
      <c r="F11" s="700">
        <v>3984</v>
      </c>
      <c r="G11" s="785">
        <f>F11*50</f>
        <v>199200</v>
      </c>
      <c r="H11" s="700">
        <f>'مواد انشائيه1'!B11+'مواد انشائيه1'!D11+'مواد انشائيه1'!F11+'مواد انشائيه1'!H11+'مواد انشائيه1'!J11+'مواد انشائيه2'!B11+'مواد انشائيه2'!D11+'مواد انشائيه2'!F11+'مواد انشائيه2'!H11+'مواد انشائيه2'!J11+'مواد انشائيه3'!B11+'مواد انشائيه3'!D11+'مواد انشائيه3'!F11+'مواد انشائيه4'!B11+'مواد انشائيه4'!D11+'مواد انشائيه4'!F11</f>
        <v>587047</v>
      </c>
      <c r="I11" s="700">
        <f>'مواد انشائيه1'!C11+'مواد انشائيه1'!E11+'مواد انشائيه1'!G11+'مواد انشائيه1'!I11+'مواد انشائيه1'!K11+'مواد انشائيه2'!C11+'مواد انشائيه2'!E11+'مواد انشائيه2'!G11+'مواد انشائيه2'!I11+'مواد انشائيه2'!K11+'مواد انشائيه3'!C11+'مواد انشائيه3'!E11+'مواد انشائيه3'!G11+'مواد انشائيه4'!C11+'مواد انشائيه4'!E11+'مواد انشائيه4'!G11</f>
        <v>7017338</v>
      </c>
      <c r="J11" s="700" t="s">
        <v>15</v>
      </c>
    </row>
    <row r="12" spans="1:11" s="211" customFormat="1" ht="15" customHeight="1" x14ac:dyDescent="0.2">
      <c r="A12" s="310" t="s">
        <v>381</v>
      </c>
      <c r="B12" s="305">
        <v>0</v>
      </c>
      <c r="C12" s="305">
        <f>B12*6</f>
        <v>0</v>
      </c>
      <c r="D12" s="305">
        <v>599</v>
      </c>
      <c r="E12" s="305">
        <f>D12*17</f>
        <v>10183</v>
      </c>
      <c r="F12" s="305">
        <v>0</v>
      </c>
      <c r="G12" s="305">
        <f>F12*40</f>
        <v>0</v>
      </c>
      <c r="H12" s="305">
        <f>'مواد انشائيه1'!B12+'مواد انشائيه1'!D12+'مواد انشائيه1'!F12+'مواد انشائيه1'!H12+'مواد انشائيه1'!J12+'مواد انشائيه2'!B12+'مواد انشائيه2'!D12+'مواد انشائيه2'!F12+'مواد انشائيه2'!H12+'مواد انشائيه2'!J12+'مواد انشائيه3'!B12+'مواد انشائيه3'!D12+'مواد انشائيه3'!F12+'مواد انشائيه4'!B12+'مواد انشائيه4'!D12+'مواد انشائيه4'!F12</f>
        <v>79884</v>
      </c>
      <c r="I12" s="305">
        <f>'مواد انشائيه1'!C12+'مواد انشائيه1'!E12+'مواد انشائيه1'!G12+'مواد انشائيه1'!I12+'مواد انشائيه1'!K12+'مواد انشائيه2'!C12+'مواد انشائيه2'!E12+'مواد انشائيه2'!G12+'مواد انشائيه2'!I12+'مواد انشائيه2'!K12+'مواد انشائيه3'!C12+'مواد انشائيه3'!E12+'مواد انشائيه3'!G12+'مواد انشائيه4'!C12+'مواد انشائيه4'!E12+'مواد انشائيه4'!G12</f>
        <v>977472</v>
      </c>
      <c r="J12" s="305" t="s">
        <v>371</v>
      </c>
    </row>
    <row r="13" spans="1:11" s="450" customFormat="1" ht="15" customHeight="1" x14ac:dyDescent="0.2">
      <c r="A13" s="699" t="s">
        <v>4</v>
      </c>
      <c r="B13" s="700">
        <v>53244</v>
      </c>
      <c r="C13" s="700">
        <f>B13*10</f>
        <v>532440</v>
      </c>
      <c r="D13" s="700">
        <v>52888</v>
      </c>
      <c r="E13" s="700">
        <f>D13*30</f>
        <v>1586640</v>
      </c>
      <c r="F13" s="700">
        <v>48069</v>
      </c>
      <c r="G13" s="785">
        <f>F13*40</f>
        <v>1922760</v>
      </c>
      <c r="H13" s="700">
        <f>'مواد انشائيه1'!B13+'مواد انشائيه1'!D13+'مواد انشائيه1'!F13+'مواد انشائيه1'!H13+'مواد انشائيه1'!J13+'مواد انشائيه2'!B13+'مواد انشائيه2'!D13+'مواد انشائيه2'!F13+'مواد انشائيه2'!H13+'مواد انشائيه2'!J13+'مواد انشائيه3'!B13+'مواد انشائيه3'!D13+'مواد انشائيه3'!F13+'مواد انشائيه4'!B13+'مواد انشائيه4'!D13+'مواد انشائيه4'!F13</f>
        <v>2888900</v>
      </c>
      <c r="I13" s="700">
        <f>'مواد انشائيه1'!C13+'مواد انشائيه1'!E13+'مواد انشائيه1'!G13+'مواد انشائيه1'!I13+'مواد انشائيه1'!K13+'مواد انشائيه2'!C13+'مواد انشائيه2'!E13+'مواد انشائيه2'!G13+'مواد انشائيه2'!I13+'مواد انشائيه2'!K13+'مواد انشائيه3'!C13+'مواد انشائيه3'!E13+'مواد انشائيه3'!G13+'مواد انشائيه4'!C13+'مواد انشائيه4'!E13+'مواد انشائيه4'!G13</f>
        <v>224249877</v>
      </c>
      <c r="J13" s="700" t="s">
        <v>16</v>
      </c>
    </row>
    <row r="14" spans="1:11" s="211" customFormat="1" ht="14.25" customHeight="1" x14ac:dyDescent="0.2">
      <c r="A14" s="310" t="s">
        <v>5</v>
      </c>
      <c r="B14" s="305">
        <v>0</v>
      </c>
      <c r="C14" s="305">
        <f>B14*8</f>
        <v>0</v>
      </c>
      <c r="D14" s="305">
        <v>0</v>
      </c>
      <c r="E14" s="305">
        <f>D14*25</f>
        <v>0</v>
      </c>
      <c r="F14" s="305">
        <v>0</v>
      </c>
      <c r="G14" s="305">
        <f>F14*40</f>
        <v>0</v>
      </c>
      <c r="H14" s="305">
        <f>'مواد انشائيه1'!B14+'مواد انشائيه1'!D14+'مواد انشائيه1'!F14+'مواد انشائيه1'!H14+'مواد انشائيه1'!J14+'مواد انشائيه2'!B14+'مواد انشائيه2'!D14+'مواد انشائيه2'!F14+'مواد انشائيه2'!H14+'مواد انشائيه2'!J14+'مواد انشائيه3'!B14+'مواد انشائيه3'!D14+'مواد انشائيه3'!F14+'مواد انشائيه4'!B14+'مواد انشائيه4'!D14+'مواد انشائيه4'!F14</f>
        <v>332372</v>
      </c>
      <c r="I14" s="305">
        <f>'مواد انشائيه1'!C14+'مواد انشائيه1'!E14+'مواد انشائيه1'!G14+'مواد انشائيه1'!I14+'مواد انشائيه1'!K14+'مواد انشائيه2'!C14+'مواد انشائيه2'!E14+'مواد انشائيه2'!G14+'مواد انشائيه2'!I14+'مواد انشائيه2'!K14+'مواد انشائيه3'!C14+'مواد انشائيه3'!E14+'مواد انشائيه3'!G14+'مواد انشائيه4'!C14+'مواد انشائيه4'!E14+'مواد انشائيه4'!G14</f>
        <v>3280851</v>
      </c>
      <c r="J14" s="305" t="s">
        <v>23</v>
      </c>
    </row>
    <row r="15" spans="1:11" s="450" customFormat="1" ht="15" customHeight="1" x14ac:dyDescent="0.2">
      <c r="A15" s="699" t="s">
        <v>6</v>
      </c>
      <c r="B15" s="700">
        <v>0</v>
      </c>
      <c r="C15" s="700">
        <f>B15*10</f>
        <v>0</v>
      </c>
      <c r="D15" s="700">
        <v>0</v>
      </c>
      <c r="E15" s="700">
        <f>D15*17</f>
        <v>0</v>
      </c>
      <c r="F15" s="700">
        <v>2786</v>
      </c>
      <c r="G15" s="785">
        <f>F15*60</f>
        <v>167160</v>
      </c>
      <c r="H15" s="700">
        <f>'مواد انشائيه1'!B15+'مواد انشائيه1'!D15+'مواد انشائيه1'!F15+'مواد انشائيه1'!H15+'مواد انشائيه1'!J15+'مواد انشائيه2'!B15+'مواد انشائيه2'!D15+'مواد انشائيه2'!F15+'مواد انشائيه2'!H15+'مواد انشائيه2'!J15+'مواد انشائيه3'!B15+'مواد انشائيه3'!D15+'مواد انشائيه3'!F15+'مواد انشائيه4'!B15+'مواد انشائيه4'!D15+'مواد انشائيه4'!F15</f>
        <v>225333</v>
      </c>
      <c r="I15" s="700">
        <f>'مواد انشائيه1'!C15+'مواد انشائيه1'!E15+'مواد انشائيه1'!G15+'مواد انشائيه1'!I15+'مواد انشائيه1'!K15+'مواد انشائيه2'!C15+'مواد انشائيه2'!E15+'مواد انشائيه2'!G15+'مواد انشائيه2'!I15+'مواد انشائيه2'!K15+'مواد انشائيه3'!C15+'مواد انشائيه3'!E15+'مواد انشائيه3'!G15+'مواد انشائيه4'!C15+'مواد انشائيه4'!E15+'مواد انشائيه4'!G15</f>
        <v>3080390</v>
      </c>
      <c r="J15" s="700" t="s">
        <v>24</v>
      </c>
    </row>
    <row r="16" spans="1:11" s="211" customFormat="1" ht="15" customHeight="1" x14ac:dyDescent="0.2">
      <c r="A16" s="310" t="s">
        <v>11</v>
      </c>
      <c r="B16" s="305">
        <v>0</v>
      </c>
      <c r="C16" s="305">
        <f>B16*10</f>
        <v>0</v>
      </c>
      <c r="D16" s="305">
        <v>0</v>
      </c>
      <c r="E16" s="305">
        <f t="shared" ref="E16:E18" si="0">D16*17</f>
        <v>0</v>
      </c>
      <c r="F16" s="305">
        <v>0</v>
      </c>
      <c r="G16" s="305">
        <f>F16*60</f>
        <v>0</v>
      </c>
      <c r="H16" s="305">
        <f>'مواد انشائيه1'!B16+'مواد انشائيه1'!D16+'مواد انشائيه1'!F16+'مواد انشائيه1'!H16+'مواد انشائيه1'!J16+'مواد انشائيه2'!B16+'مواد انشائيه2'!D16+'مواد انشائيه2'!F16+'مواد انشائيه2'!H16+'مواد انشائيه2'!J16+'مواد انشائيه3'!B16+'مواد انشائيه3'!D16+'مواد انشائيه3'!F16+'مواد انشائيه4'!B16+'مواد انشائيه4'!D16+'مواد انشائيه4'!F16</f>
        <v>219737</v>
      </c>
      <c r="I16" s="305">
        <f>'مواد انشائيه1'!C16+'مواد انشائيه1'!E16+'مواد انشائيه1'!G16+'مواد انشائيه1'!I16+'مواد انشائيه1'!K16+'مواد انشائيه2'!C16+'مواد انشائيه2'!E16+'مواد انشائيه2'!G16+'مواد انشائيه2'!I16+'مواد انشائيه2'!K16+'مواد انشائيه3'!C16+'مواد انشائيه3'!E16+'مواد انشائيه3'!G16+'مواد انشائيه4'!C16+'مواد انشائيه4'!E16+'مواد انشائيه4'!G16</f>
        <v>2682833</v>
      </c>
      <c r="J16" s="305" t="s">
        <v>21</v>
      </c>
    </row>
    <row r="17" spans="1:11" s="450" customFormat="1" ht="15" customHeight="1" x14ac:dyDescent="0.2">
      <c r="A17" s="699" t="s">
        <v>2</v>
      </c>
      <c r="B17" s="700">
        <v>10038</v>
      </c>
      <c r="C17" s="700">
        <f t="shared" ref="C17:C22" si="1">B17*10</f>
        <v>100380</v>
      </c>
      <c r="D17" s="700">
        <v>0</v>
      </c>
      <c r="E17" s="700">
        <f t="shared" si="0"/>
        <v>0</v>
      </c>
      <c r="F17" s="700">
        <v>937</v>
      </c>
      <c r="G17" s="785">
        <f>F17*50</f>
        <v>46850</v>
      </c>
      <c r="H17" s="700">
        <f>'مواد انشائيه1'!B17+'مواد انشائيه1'!D17+'مواد انشائيه1'!F17+'مواد انشائيه1'!H17+'مواد انشائيه1'!J17+'مواد انشائيه2'!B17+'مواد انشائيه2'!D17+'مواد انشائيه2'!F17+'مواد انشائيه2'!H17+'مواد انشائيه2'!J17+'مواد انشائيه3'!B17+'مواد انشائيه3'!D17+'مواد انشائيه3'!F17+'مواد انشائيه4'!B17+'مواد انشائيه4'!D17+'مواد انشائيه4'!F17</f>
        <v>145342</v>
      </c>
      <c r="I17" s="700">
        <f>'مواد انشائيه1'!C17+'مواد انشائيه1'!E17+'مواد انشائيه1'!G17+'مواد انشائيه1'!I17+'مواد انشائيه1'!K17+'مواد انشائيه2'!C17+'مواد انشائيه2'!E17+'مواد انشائيه2'!G17+'مواد انشائيه2'!I17+'مواد انشائيه2'!K17+'مواد انشائيه3'!C17+'مواد انشائيه3'!E17+'مواد انشائيه3'!G17+'مواد انشائيه4'!C17+'مواد انشائيه4'!E17+'مواد انشائيه4'!G17</f>
        <v>1552217</v>
      </c>
      <c r="J17" s="700" t="s">
        <v>14</v>
      </c>
    </row>
    <row r="18" spans="1:11" s="211" customFormat="1" ht="15" customHeight="1" x14ac:dyDescent="0.2">
      <c r="A18" s="310" t="s">
        <v>7</v>
      </c>
      <c r="B18" s="305">
        <v>0</v>
      </c>
      <c r="C18" s="305">
        <f t="shared" si="1"/>
        <v>0</v>
      </c>
      <c r="D18" s="305">
        <v>0</v>
      </c>
      <c r="E18" s="305">
        <f t="shared" si="0"/>
        <v>0</v>
      </c>
      <c r="F18" s="305">
        <v>0</v>
      </c>
      <c r="G18" s="786">
        <f t="shared" ref="G18:G20" si="2">F18*50</f>
        <v>0</v>
      </c>
      <c r="H18" s="305">
        <f>'مواد انشائيه1'!B18+'مواد انشائيه1'!D18+'مواد انشائيه1'!F18+'مواد انشائيه1'!H18+'مواد انشائيه1'!J18+'مواد انشائيه2'!B18+'مواد انشائيه2'!D18+'مواد انشائيه2'!F18+'مواد انشائيه2'!H18+'مواد انشائيه2'!J18+'مواد انشائيه3'!B18+'مواد انشائيه3'!D18+'مواد انشائيه3'!F18+'مواد انشائيه4'!B18+'مواد انشائيه4'!D18+'مواد انشائيه4'!F18</f>
        <v>375250</v>
      </c>
      <c r="I18" s="305">
        <f>'مواد انشائيه1'!C18+'مواد انشائيه1'!E18+'مواد انشائيه1'!G18+'مواد انشائيه1'!I18+'مواد انشائيه1'!K18+'مواد انشائيه2'!C18+'مواد انشائيه2'!E18+'مواد انشائيه2'!G18+'مواد انشائيه2'!I18+'مواد انشائيه2'!K18+'مواد انشائيه3'!C18+'مواد انشائيه3'!E18+'مواد انشائيه3'!G18+'مواد انشائيه4'!C18+'مواد انشائيه4'!E18+'مواد انشائيه4'!G18</f>
        <v>4774097</v>
      </c>
      <c r="J18" s="305" t="s">
        <v>17</v>
      </c>
    </row>
    <row r="19" spans="1:11" s="450" customFormat="1" ht="15" customHeight="1" x14ac:dyDescent="0.2">
      <c r="A19" s="699" t="s">
        <v>8</v>
      </c>
      <c r="B19" s="700">
        <v>0</v>
      </c>
      <c r="C19" s="700">
        <f t="shared" si="1"/>
        <v>0</v>
      </c>
      <c r="D19" s="700">
        <v>0</v>
      </c>
      <c r="E19" s="700">
        <f>D19*25</f>
        <v>0</v>
      </c>
      <c r="F19" s="700">
        <v>0</v>
      </c>
      <c r="G19" s="785">
        <f t="shared" si="2"/>
        <v>0</v>
      </c>
      <c r="H19" s="700">
        <f>'مواد انشائيه1'!B19+'مواد انشائيه1'!D19+'مواد انشائيه1'!F19+'مواد انشائيه1'!H19+'مواد انشائيه1'!J19+'مواد انشائيه2'!B19+'مواد انشائيه2'!D19+'مواد انشائيه2'!F19+'مواد انشائيه2'!H19+'مواد انشائيه2'!J19+'مواد انشائيه3'!B19+'مواد انشائيه3'!D19+'مواد انشائيه3'!F19+'مواد انشائيه4'!B19+'مواد انشائيه4'!D19+'مواد انشائيه4'!F19</f>
        <v>163169</v>
      </c>
      <c r="I19" s="700">
        <f>'مواد انشائيه1'!C19+'مواد انشائيه1'!E19+'مواد انشائيه1'!G19+'مواد انشائيه1'!I19+'مواد انشائيه1'!K19+'مواد انشائيه2'!C19+'مواد انشائيه2'!E19+'مواد انشائيه2'!G19+'مواد انشائيه2'!I19+'مواد انشائيه2'!K19+'مواد انشائيه3'!C19+'مواد انشائيه3'!E19+'مواد انشائيه3'!G19+'مواد انشائيه4'!C19+'مواد انشائيه4'!E19+'مواد انشائيه4'!G19</f>
        <v>1411829</v>
      </c>
      <c r="J19" s="700" t="s">
        <v>18</v>
      </c>
    </row>
    <row r="20" spans="1:11" s="211" customFormat="1" ht="15" customHeight="1" x14ac:dyDescent="0.2">
      <c r="A20" s="310" t="s">
        <v>9</v>
      </c>
      <c r="B20" s="305">
        <v>0</v>
      </c>
      <c r="C20" s="305">
        <f t="shared" si="1"/>
        <v>0</v>
      </c>
      <c r="D20" s="305">
        <v>0</v>
      </c>
      <c r="E20" s="305">
        <f>D20*20</f>
        <v>0</v>
      </c>
      <c r="F20" s="305">
        <v>0</v>
      </c>
      <c r="G20" s="786">
        <f t="shared" si="2"/>
        <v>0</v>
      </c>
      <c r="H20" s="305">
        <f>'مواد انشائيه1'!B20+'مواد انشائيه1'!D20+'مواد انشائيه1'!F20+'مواد انشائيه1'!H20+'مواد انشائيه1'!J20+'مواد انشائيه2'!B20+'مواد انشائيه2'!D20+'مواد انشائيه2'!F20+'مواد انشائيه2'!H20+'مواد انشائيه2'!J20+'مواد انشائيه3'!B20+'مواد انشائيه3'!D20+'مواد انشائيه3'!F20+'مواد انشائيه4'!B20+'مواد انشائيه4'!D20+'مواد انشائيه4'!F20</f>
        <v>182821</v>
      </c>
      <c r="I20" s="305">
        <f>'مواد انشائيه1'!C20+'مواد انشائيه1'!E20+'مواد انشائيه1'!G20+'مواد انشائيه1'!I20+'مواد انشائيه1'!K20+'مواد انشائيه2'!C20+'مواد انشائيه2'!E20+'مواد انشائيه2'!G20+'مواد انشائيه2'!I20+'مواد انشائيه2'!K20+'مواد انشائيه3'!C20+'مواد انشائيه3'!E20+'مواد انشائيه3'!G20+'مواد انشائيه4'!C20+'مواد انشائيه4'!E20+'مواد انشائيه4'!G20</f>
        <v>1354180</v>
      </c>
      <c r="J20" s="305" t="s">
        <v>19</v>
      </c>
    </row>
    <row r="21" spans="1:11" s="450" customFormat="1" ht="15" customHeight="1" x14ac:dyDescent="0.2">
      <c r="A21" s="699" t="s">
        <v>10</v>
      </c>
      <c r="B21" s="700">
        <v>0</v>
      </c>
      <c r="C21" s="700">
        <f t="shared" si="1"/>
        <v>0</v>
      </c>
      <c r="D21" s="700">
        <v>0</v>
      </c>
      <c r="E21" s="700">
        <f>D21*25</f>
        <v>0</v>
      </c>
      <c r="F21" s="700">
        <v>0</v>
      </c>
      <c r="G21" s="700">
        <f>F21*40</f>
        <v>0</v>
      </c>
      <c r="H21" s="700">
        <f>'مواد انشائيه1'!B21+'مواد انشائيه1'!D21+'مواد انشائيه1'!F21+'مواد انشائيه1'!H21+'مواد انشائيه1'!J21+'مواد انشائيه2'!B21+'مواد انشائيه2'!D21+'مواد انشائيه2'!F21+'مواد انشائيه2'!H21+'مواد انشائيه2'!J21+'مواد انشائيه3'!B21+'مواد انشائيه3'!D21+'مواد انشائيه3'!F21+'مواد انشائيه4'!B21+'مواد انشائيه4'!D21+'مواد انشائيه4'!F21</f>
        <v>493589</v>
      </c>
      <c r="I21" s="700">
        <f>'مواد انشائيه1'!C21+'مواد انشائيه1'!E21+'مواد انشائيه1'!G21+'مواد انشائيه1'!I21+'مواد انشائيه1'!K21+'مواد انشائيه2'!C21+'مواد انشائيه2'!E21+'مواد انشائيه2'!G21+'مواد انشائيه2'!I21+'مواد انشائيه2'!K21+'مواد انشائيه3'!C21+'مواد انشائيه3'!E21+'مواد انشائيه3'!G21+'مواد انشائيه4'!C21+'مواد انشائيه4'!E21+'مواد انشائيه4'!G21</f>
        <v>4230992</v>
      </c>
      <c r="J21" s="700" t="s">
        <v>20</v>
      </c>
    </row>
    <row r="22" spans="1:11" s="211" customFormat="1" ht="15" customHeight="1" x14ac:dyDescent="0.2">
      <c r="A22" s="310" t="s">
        <v>12</v>
      </c>
      <c r="B22" s="305">
        <v>0</v>
      </c>
      <c r="C22" s="305">
        <f t="shared" si="1"/>
        <v>0</v>
      </c>
      <c r="D22" s="305">
        <v>0</v>
      </c>
      <c r="E22" s="305">
        <f>D22*25</f>
        <v>0</v>
      </c>
      <c r="F22" s="305">
        <v>0</v>
      </c>
      <c r="G22" s="305">
        <f>F22*45</f>
        <v>0</v>
      </c>
      <c r="H22" s="305">
        <f>'مواد انشائيه1'!B22+'مواد انشائيه1'!D22+'مواد انشائيه1'!F22+'مواد انشائيه1'!H22+'مواد انشائيه1'!J22+'مواد انشائيه2'!B22+'مواد انشائيه2'!D22+'مواد انشائيه2'!F22+'مواد انشائيه2'!H22+'مواد انشائيه2'!J22+'مواد انشائيه3'!B22+'مواد انشائيه3'!D22+'مواد انشائيه3'!F22+'مواد انشائيه4'!B22+'مواد انشائيه4'!D22+'مواد انشائيه4'!F22</f>
        <v>101387</v>
      </c>
      <c r="I22" s="305">
        <f>'مواد انشائيه1'!C22+'مواد انشائيه1'!E22+'مواد انشائيه1'!G22+'مواد انشائيه1'!I22+'مواد انشائيه1'!K22+'مواد انشائيه2'!C22+'مواد انشائيه2'!E22+'مواد انشائيه2'!G22+'مواد انشائيه2'!I22+'مواد انشائيه2'!K22+'مواد انشائيه3'!C22+'مواد انشائيه3'!E22+'مواد انشائيه3'!G22+'مواد انشائيه4'!C22+'مواد انشائيه4'!E22+'مواد انشائيه4'!G22</f>
        <v>1015989</v>
      </c>
      <c r="J22" s="305" t="s">
        <v>25</v>
      </c>
    </row>
    <row r="23" spans="1:11" s="450" customFormat="1" ht="15" customHeight="1" thickBot="1" x14ac:dyDescent="0.25">
      <c r="A23" s="699" t="s">
        <v>13</v>
      </c>
      <c r="B23" s="700">
        <v>0</v>
      </c>
      <c r="C23" s="700">
        <f>B23*15</f>
        <v>0</v>
      </c>
      <c r="D23" s="700">
        <v>0</v>
      </c>
      <c r="E23" s="700">
        <f>D23*30</f>
        <v>0</v>
      </c>
      <c r="F23" s="700">
        <v>589</v>
      </c>
      <c r="G23" s="785">
        <f>F23*40</f>
        <v>23560</v>
      </c>
      <c r="H23" s="700">
        <f>'مواد انشائيه1'!B23+'مواد انشائيه1'!D23+'مواد انشائيه1'!F23+'مواد انشائيه1'!H23+'مواد انشائيه1'!J23+'مواد انشائيه2'!B23+'مواد انشائيه2'!D23+'مواد انشائيه2'!F23+'مواد انشائيه2'!H23+'مواد انشائيه2'!J23+'مواد انشائيه3'!B23+'مواد انشائيه3'!D23+'مواد انشائيه3'!F23+'مواد انشائيه4'!B23+'مواد انشائيه4'!D23+'مواد انشائيه4'!F23</f>
        <v>462684</v>
      </c>
      <c r="I23" s="700">
        <f>'مواد انشائيه1'!C23+'مواد انشائيه1'!E23+'مواد انشائيه1'!G23+'مواد انشائيه1'!I23+'مواد انشائيه1'!K23+'مواد انشائيه2'!C23+'مواد انشائيه2'!E23+'مواد انشائيه2'!G23+'مواد انشائيه2'!I23+'مواد انشائيه2'!K23+'مواد انشائيه3'!C23+'مواد انشائيه3'!E23+'مواد انشائيه3'!G23+'مواد انشائيه4'!C23+'مواد انشائيه4'!E23+'مواد انشائيه4'!G23</f>
        <v>4048315</v>
      </c>
      <c r="J23" s="700" t="s">
        <v>22</v>
      </c>
    </row>
    <row r="24" spans="1:11" s="562" customFormat="1" ht="20.25" customHeight="1" thickBot="1" x14ac:dyDescent="0.25">
      <c r="A24" s="704" t="s">
        <v>0</v>
      </c>
      <c r="B24" s="787">
        <f t="shared" ref="B24:H24" si="3">SUM(B9:B23)</f>
        <v>63282</v>
      </c>
      <c r="C24" s="787">
        <f t="shared" si="3"/>
        <v>632820</v>
      </c>
      <c r="D24" s="787">
        <f t="shared" si="3"/>
        <v>61523</v>
      </c>
      <c r="E24" s="787">
        <f t="shared" si="3"/>
        <v>1796443</v>
      </c>
      <c r="F24" s="787">
        <f t="shared" si="3"/>
        <v>56365</v>
      </c>
      <c r="G24" s="787">
        <f t="shared" si="3"/>
        <v>2359530</v>
      </c>
      <c r="H24" s="787">
        <f t="shared" si="3"/>
        <v>6557452</v>
      </c>
      <c r="I24" s="787">
        <f>SUM(I9:I23)</f>
        <v>263479727</v>
      </c>
      <c r="J24" s="685" t="s">
        <v>1</v>
      </c>
    </row>
    <row r="25" spans="1:11" s="7" customFormat="1" ht="20.25" customHeight="1" x14ac:dyDescent="0.2">
      <c r="A25" s="862"/>
      <c r="B25" s="862"/>
      <c r="C25" s="862"/>
      <c r="D25" s="862"/>
      <c r="E25" s="862"/>
      <c r="F25" s="862"/>
      <c r="G25" s="862"/>
      <c r="H25" s="421"/>
      <c r="I25" s="421"/>
      <c r="J25" s="56"/>
    </row>
    <row r="26" spans="1:11" ht="14.25" x14ac:dyDescent="0.2">
      <c r="C26" s="7"/>
      <c r="D26" s="7"/>
      <c r="E26" s="7"/>
      <c r="F26" s="7"/>
      <c r="G26" s="7"/>
      <c r="J26" s="258"/>
    </row>
    <row r="27" spans="1:11" ht="15" x14ac:dyDescent="0.25">
      <c r="A27" s="880"/>
      <c r="B27" s="880"/>
      <c r="C27" s="7"/>
      <c r="D27" s="7"/>
      <c r="E27" s="7"/>
      <c r="F27" s="7"/>
      <c r="G27" s="7"/>
      <c r="J27" s="422"/>
      <c r="K27" s="7"/>
    </row>
    <row r="28" spans="1:11" x14ac:dyDescent="0.2">
      <c r="J28" s="7"/>
      <c r="K28" s="7"/>
    </row>
    <row r="29" spans="1:11" x14ac:dyDescent="0.2">
      <c r="J29" s="7"/>
      <c r="K29" s="7"/>
    </row>
    <row r="30" spans="1:11" ht="13.5" customHeight="1" x14ac:dyDescent="0.2"/>
  </sheetData>
  <mergeCells count="15">
    <mergeCell ref="H5:I5"/>
    <mergeCell ref="H6:I6"/>
    <mergeCell ref="A27:B27"/>
    <mergeCell ref="B5:C5"/>
    <mergeCell ref="D5:E5"/>
    <mergeCell ref="F5:G5"/>
    <mergeCell ref="F6:G6"/>
    <mergeCell ref="A25:G25"/>
    <mergeCell ref="D6:E6"/>
    <mergeCell ref="B6:C6"/>
    <mergeCell ref="A1:J1"/>
    <mergeCell ref="A2:J2"/>
    <mergeCell ref="A4:B4"/>
    <mergeCell ref="C4:E4"/>
    <mergeCell ref="F4:G4"/>
  </mergeCells>
  <phoneticPr fontId="3" type="noConversion"/>
  <printOptions horizontalCentered="1" verticalCentered="1"/>
  <pageMargins left="0.49" right="1.0236220472440944" top="0.74" bottom="0.98425196850393704" header="0.75" footer="0.51181102362204722"/>
  <pageSetup scale="92" orientation="landscape" verticalDpi="300" r:id="rId1"/>
  <headerFooter alignWithMargins="0">
    <oddFooter>&amp;C49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D23"/>
  <sheetViews>
    <sheetView rightToLeft="1" view="pageLayout" zoomScaleSheetLayoutView="100" workbookViewId="0">
      <selection activeCell="B22" sqref="B22"/>
    </sheetView>
  </sheetViews>
  <sheetFormatPr defaultRowHeight="12.75" x14ac:dyDescent="0.2"/>
  <cols>
    <col min="1" max="1" width="13.42578125" customWidth="1"/>
    <col min="2" max="2" width="25.42578125" customWidth="1"/>
    <col min="3" max="3" width="24.85546875" customWidth="1"/>
    <col min="4" max="4" width="16.140625" customWidth="1"/>
    <col min="5" max="5" width="16.85546875" customWidth="1"/>
    <col min="6" max="6" width="0.140625" hidden="1" customWidth="1"/>
    <col min="7" max="7" width="3.5703125" hidden="1" customWidth="1"/>
    <col min="8" max="8" width="0.7109375" hidden="1" customWidth="1"/>
    <col min="9" max="9" width="18.85546875" customWidth="1"/>
    <col min="10" max="11" width="9.140625" hidden="1" customWidth="1"/>
    <col min="12" max="12" width="1.7109375" customWidth="1"/>
    <col min="13" max="13" width="9" hidden="1" customWidth="1"/>
    <col min="14" max="14" width="6.5703125" hidden="1" customWidth="1"/>
    <col min="15" max="15" width="33" customWidth="1"/>
  </cols>
  <sheetData>
    <row r="1" spans="1:30" ht="15" x14ac:dyDescent="0.2">
      <c r="A1" s="821" t="s">
        <v>510</v>
      </c>
      <c r="B1" s="821"/>
      <c r="C1" s="821"/>
      <c r="D1" s="821"/>
      <c r="E1" s="821"/>
    </row>
    <row r="2" spans="1:30" ht="36.75" customHeight="1" x14ac:dyDescent="0.2">
      <c r="A2" s="829" t="s">
        <v>438</v>
      </c>
      <c r="B2" s="829"/>
      <c r="C2" s="829"/>
      <c r="D2" s="829"/>
      <c r="E2" s="829"/>
    </row>
    <row r="3" spans="1:30" s="7" customFormat="1" ht="14.25" customHeight="1" x14ac:dyDescent="0.25">
      <c r="A3" s="318"/>
      <c r="B3" s="318"/>
      <c r="C3" s="318"/>
      <c r="D3" s="848" t="s">
        <v>223</v>
      </c>
      <c r="E3" s="848"/>
    </row>
    <row r="4" spans="1:30" ht="19.5" customHeight="1" thickBot="1" x14ac:dyDescent="0.25">
      <c r="A4" s="927" t="s">
        <v>101</v>
      </c>
      <c r="B4" s="927"/>
      <c r="C4" s="80"/>
      <c r="D4" s="18"/>
      <c r="E4" s="83" t="s">
        <v>102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30" s="709" customFormat="1" ht="15" customHeight="1" x14ac:dyDescent="0.25">
      <c r="A5" s="706"/>
      <c r="B5" s="707" t="s">
        <v>103</v>
      </c>
      <c r="C5" s="707" t="s">
        <v>104</v>
      </c>
      <c r="D5" s="707" t="s">
        <v>105</v>
      </c>
      <c r="E5" s="708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5"/>
      <c r="S5" s="705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</row>
    <row r="6" spans="1:30" s="600" customFormat="1" ht="45.75" customHeight="1" thickBot="1" x14ac:dyDescent="0.3">
      <c r="A6" s="556" t="s">
        <v>52</v>
      </c>
      <c r="B6" s="710" t="s">
        <v>361</v>
      </c>
      <c r="C6" s="710" t="s">
        <v>106</v>
      </c>
      <c r="D6" s="710" t="s">
        <v>360</v>
      </c>
      <c r="E6" s="595" t="s">
        <v>26</v>
      </c>
    </row>
    <row r="7" spans="1:30" s="450" customFormat="1" ht="15" customHeight="1" x14ac:dyDescent="0.2">
      <c r="A7" s="711" t="s">
        <v>395</v>
      </c>
      <c r="B7" s="477">
        <f>'مواد انشائيه4'!I9+ت.صحيه3!I9+ت.كهربائيه2!H9+شبابيك!I9+ابواب!K9+حديد!G9+كاشي2!J9+جص!G10+سمنت!I9+رمل!G10+حصى!G11+حجر!G10+بلوك!I9</f>
        <v>3378616</v>
      </c>
      <c r="C7" s="477">
        <v>871664</v>
      </c>
      <c r="D7" s="477">
        <f>B7+C7</f>
        <v>4250280</v>
      </c>
      <c r="E7" s="712" t="s">
        <v>397</v>
      </c>
    </row>
    <row r="8" spans="1:30" s="211" customFormat="1" ht="15" customHeight="1" x14ac:dyDescent="0.2">
      <c r="A8" s="729" t="s">
        <v>30</v>
      </c>
      <c r="B8" s="315">
        <f>'مواد انشائيه4'!I10+ت.صحيه3!I10+ت.كهربائيه2!H10+شبابيك!I10+ابواب!K10+حديد!G10+كاشي2!J10+جص!G11+سمنت!I10+رمل!G11+حصى!G12+حجر!G11+بلوك!I10+طابوق!K10</f>
        <v>37716703</v>
      </c>
      <c r="C8" s="315">
        <v>22369930</v>
      </c>
      <c r="D8" s="315">
        <f t="shared" ref="D8:D22" si="0">B8+C8</f>
        <v>60086633</v>
      </c>
      <c r="E8" s="731" t="s">
        <v>31</v>
      </c>
    </row>
    <row r="9" spans="1:30" s="450" customFormat="1" ht="15" customHeight="1" x14ac:dyDescent="0.2">
      <c r="A9" s="713" t="s">
        <v>3</v>
      </c>
      <c r="B9" s="477">
        <f>'مواد انشائيه4'!I11+ت.صحيه3!I11+ت.كهربائيه2!H11+شبابيك!I11+ابواب!K11+حديد!G11+كاشي2!J11+جص!G12+سمنت!I11+رمل!G12+حصى!G13+حجر!G12+بلوك!I11+طابوق!K11</f>
        <v>62901735</v>
      </c>
      <c r="C9" s="477">
        <v>55048654</v>
      </c>
      <c r="D9" s="477">
        <f t="shared" si="0"/>
        <v>117950389</v>
      </c>
      <c r="E9" s="449" t="s">
        <v>15</v>
      </c>
    </row>
    <row r="10" spans="1:30" s="211" customFormat="1" ht="15" customHeight="1" x14ac:dyDescent="0.2">
      <c r="A10" s="729" t="s">
        <v>381</v>
      </c>
      <c r="B10" s="315">
        <f>'مواد انشائيه4'!I12+ت.صحيه3!I12+ت.كهربائيه2!H12+شبابيك!I12+ابواب!K12+حديد!G12+كاشي2!J12+جص!G13+سمنت!I12+رمل!G13+حصى!G14+حجر!G13+بلوك!I12+طابوق!K12</f>
        <v>9829194</v>
      </c>
      <c r="C10" s="315">
        <v>4757029</v>
      </c>
      <c r="D10" s="315">
        <f t="shared" si="0"/>
        <v>14586223</v>
      </c>
      <c r="E10" s="731" t="s">
        <v>371</v>
      </c>
    </row>
    <row r="11" spans="1:30" s="450" customFormat="1" ht="15" customHeight="1" x14ac:dyDescent="0.2">
      <c r="A11" s="711" t="s">
        <v>4</v>
      </c>
      <c r="B11" s="477">
        <f>'مواد انشائيه4'!I13+ت.صحيه3!I13+ت.كهربائيه2!H13+شبابيك!I13+ابواب!K13+حديد!G13+كاشي2!J13+جص!G14+سمنت!I13+رمل!G14+حصى!G15+حجر!G14+بلوك!I13+طابوق!K13</f>
        <v>471738086</v>
      </c>
      <c r="C11" s="477">
        <v>247659783</v>
      </c>
      <c r="D11" s="477">
        <f t="shared" si="0"/>
        <v>719397869</v>
      </c>
      <c r="E11" s="712" t="s">
        <v>16</v>
      </c>
    </row>
    <row r="12" spans="1:30" s="211" customFormat="1" ht="15" customHeight="1" x14ac:dyDescent="0.2">
      <c r="A12" s="58" t="s">
        <v>5</v>
      </c>
      <c r="B12" s="315">
        <f>'مواد انشائيه4'!I14+ت.صحيه3!I14+ت.كهربائيه2!H14+شبابيك!I14+ابواب!K14+حديد!G14+كاشي2!J14+جص!G15+سمنت!I14+رمل!G15+حصى!G16+بلوك!I14+طابوق!K14</f>
        <v>33664959</v>
      </c>
      <c r="C12" s="315">
        <v>16414184</v>
      </c>
      <c r="D12" s="315">
        <f t="shared" si="0"/>
        <v>50079143</v>
      </c>
      <c r="E12" s="59" t="s">
        <v>23</v>
      </c>
    </row>
    <row r="13" spans="1:30" s="450" customFormat="1" ht="15" customHeight="1" x14ac:dyDescent="0.2">
      <c r="A13" s="711" t="s">
        <v>6</v>
      </c>
      <c r="B13" s="477">
        <f>'مواد انشائيه4'!I15+ت.صحيه3!I15+ت.كهربائيه2!H15+شبابيك!I15+ابواب!K15+حديد!G15+كاشي2!J15+جص!G16+سمنت!I15+رمل!G16+حصى!G17+حجر!G15+بلوك!I15+طابوق!K15</f>
        <v>28425534</v>
      </c>
      <c r="C13" s="477">
        <v>12364150</v>
      </c>
      <c r="D13" s="477">
        <f t="shared" si="0"/>
        <v>40789684</v>
      </c>
      <c r="E13" s="712" t="s">
        <v>24</v>
      </c>
    </row>
    <row r="14" spans="1:30" s="211" customFormat="1" ht="12.75" customHeight="1" x14ac:dyDescent="0.2">
      <c r="A14" s="58" t="s">
        <v>11</v>
      </c>
      <c r="B14" s="315">
        <f>'مواد انشائيه4'!I16+ت.صحيه3!I16+ت.كهربائيه2!H16+شبابيك!I16+ابواب!K16+حديد!G16+كاشي2!J16+جص!G17+سمنت!I16+رمل!G17+حصى!G18+بلوك!I16+طابوق!K16</f>
        <v>24365953</v>
      </c>
      <c r="C14" s="315">
        <v>11842799</v>
      </c>
      <c r="D14" s="315">
        <f t="shared" si="0"/>
        <v>36208752</v>
      </c>
      <c r="E14" s="59" t="s">
        <v>21</v>
      </c>
    </row>
    <row r="15" spans="1:30" s="450" customFormat="1" ht="16.5" customHeight="1" x14ac:dyDescent="0.2">
      <c r="A15" s="711" t="s">
        <v>2</v>
      </c>
      <c r="B15" s="477">
        <f>'مواد انشائيه4'!I17+ت.صحيه3!I17+ت.كهربائيه2!H17+شبابيك!I17+ابواب!K17+حديد!G17+كاشي2!J17+جص!G18+سمنت!I17+رمل!G18+حصى!G19+حجر!G16+بلوك!I17+طابوق!K17</f>
        <v>56682407</v>
      </c>
      <c r="C15" s="477">
        <v>8136089</v>
      </c>
      <c r="D15" s="477">
        <f t="shared" si="0"/>
        <v>64818496</v>
      </c>
      <c r="E15" s="732" t="s">
        <v>14</v>
      </c>
    </row>
    <row r="16" spans="1:30" s="211" customFormat="1" ht="15" customHeight="1" x14ac:dyDescent="0.2">
      <c r="A16" s="58" t="s">
        <v>7</v>
      </c>
      <c r="B16" s="315">
        <f>'مواد انشائيه4'!I18+ت.صحيه3!I18+ت.كهربائيه2!H18+شبابيك!I18+ابواب!K18+حديد!G18+كاشي2!J18+جص!G19+سمنت!I18+رمل!G19+حصى!G20+بلوك!I18+طابوق!K18</f>
        <v>38830728</v>
      </c>
      <c r="C16" s="315">
        <v>24020385</v>
      </c>
      <c r="D16" s="315">
        <f t="shared" si="0"/>
        <v>62851113</v>
      </c>
      <c r="E16" s="59" t="s">
        <v>17</v>
      </c>
    </row>
    <row r="17" spans="1:5" s="450" customFormat="1" ht="14.25" customHeight="1" x14ac:dyDescent="0.2">
      <c r="A17" s="711" t="s">
        <v>8</v>
      </c>
      <c r="B17" s="477">
        <f>'مواد انشائيه4'!I19+ت.صحيه3!I19+ت.كهربائيه2!H19+شبابيك!I19+ابواب!K19+حديد!G19+كاشي2!J19+جص!G20+سمنت!I19+رمل!G20+حصى!G21+بلوك!I19+طابوق!K19</f>
        <v>10663128</v>
      </c>
      <c r="C17" s="477">
        <v>8512650</v>
      </c>
      <c r="D17" s="477">
        <f t="shared" si="0"/>
        <v>19175778</v>
      </c>
      <c r="E17" s="712" t="s">
        <v>18</v>
      </c>
    </row>
    <row r="18" spans="1:5" s="211" customFormat="1" ht="16.5" customHeight="1" x14ac:dyDescent="0.2">
      <c r="A18" s="58" t="s">
        <v>9</v>
      </c>
      <c r="B18" s="315">
        <f>'مواد انشائيه4'!I20+ت.صحيه3!I20+ت.كهربائيه2!H20+شبابيك!I20+ابواب!K20+حديد!G20+كاشي2!J20+جص!G21+سمنت!I20+رمل!G21+حصى!G22+بلوك!I20+طابوق!K20</f>
        <v>11646727</v>
      </c>
      <c r="C18" s="315">
        <v>8613145</v>
      </c>
      <c r="D18" s="315">
        <f t="shared" si="0"/>
        <v>20259872</v>
      </c>
      <c r="E18" s="59" t="s">
        <v>19</v>
      </c>
    </row>
    <row r="19" spans="1:5" s="450" customFormat="1" ht="16.5" customHeight="1" x14ac:dyDescent="0.2">
      <c r="A19" s="711" t="s">
        <v>10</v>
      </c>
      <c r="B19" s="477">
        <f>'مواد انشائيه4'!I21+ت.صحيه3!I21+ت.كهربائيه2!H21+شبابيك!I21+ابواب!K21+حديد!G21+كاشي2!J21+جص!G22+سمنت!I21+رمل!G22+حصى!G23+بلوك!I21+طابوق!K21</f>
        <v>34120068</v>
      </c>
      <c r="C19" s="477">
        <v>14394629</v>
      </c>
      <c r="D19" s="477">
        <f t="shared" si="0"/>
        <v>48514697</v>
      </c>
      <c r="E19" s="712" t="s">
        <v>20</v>
      </c>
    </row>
    <row r="20" spans="1:5" s="211" customFormat="1" ht="15" customHeight="1" x14ac:dyDescent="0.2">
      <c r="A20" s="58" t="s">
        <v>12</v>
      </c>
      <c r="B20" s="315">
        <f>'مواد انشائيه4'!I22+ت.صحيه3!I22+ت.كهربائيه2!H22+شبابيك!I22+ابواب!K22+حديد!G22+كاشي2!J22+جص!G23+سمنت!I22+رمل!G23+حصى!G24+بلوك!I22+طابوق!K22</f>
        <v>8499935</v>
      </c>
      <c r="C20" s="315">
        <v>35211800</v>
      </c>
      <c r="D20" s="315">
        <f t="shared" si="0"/>
        <v>43711735</v>
      </c>
      <c r="E20" s="59" t="s">
        <v>25</v>
      </c>
    </row>
    <row r="21" spans="1:5" s="450" customFormat="1" ht="15" customHeight="1" thickBot="1" x14ac:dyDescent="0.25">
      <c r="A21" s="711" t="s">
        <v>13</v>
      </c>
      <c r="B21" s="477">
        <f>'مواد انشائيه4'!I23+ت.صحيه3!I23+ت.كهربائيه2!H23+شبابيك!I23+ابواب!K23+حديد!G23+كاشي2!J23+جص!G24+سمنت!I23+رمل!G24+حصى!G25+بلوك!I23+طابوق!K23</f>
        <v>42766965</v>
      </c>
      <c r="C21" s="477">
        <v>26298890</v>
      </c>
      <c r="D21" s="477">
        <f t="shared" si="0"/>
        <v>69065855</v>
      </c>
      <c r="E21" s="712" t="s">
        <v>22</v>
      </c>
    </row>
    <row r="22" spans="1:5" s="562" customFormat="1" ht="19.5" customHeight="1" thickBot="1" x14ac:dyDescent="0.25">
      <c r="A22" s="569" t="s">
        <v>0</v>
      </c>
      <c r="B22" s="772">
        <f>SUM(B7:B21)</f>
        <v>875230738</v>
      </c>
      <c r="C22" s="772">
        <f>SUM(C7:C21)</f>
        <v>496515781</v>
      </c>
      <c r="D22" s="772">
        <f t="shared" si="0"/>
        <v>1371746519</v>
      </c>
      <c r="E22" s="570" t="s">
        <v>1</v>
      </c>
    </row>
    <row r="23" spans="1:5" ht="14.25" x14ac:dyDescent="0.2">
      <c r="C23" s="7"/>
      <c r="D23" s="7"/>
      <c r="E23" s="258"/>
    </row>
  </sheetData>
  <mergeCells count="4">
    <mergeCell ref="A1:E1"/>
    <mergeCell ref="A2:E2"/>
    <mergeCell ref="A4:B4"/>
    <mergeCell ref="D3:E3"/>
  </mergeCells>
  <phoneticPr fontId="3" type="noConversion"/>
  <printOptions horizontalCentered="1" verticalCentered="1"/>
  <pageMargins left="1.41" right="1.6" top="0" bottom="0.98425196850393704" header="0.78740157480314998" footer="0.511811023622047"/>
  <pageSetup scale="98" orientation="landscape" horizontalDpi="4294967293" verticalDpi="300" r:id="rId1"/>
  <headerFooter alignWithMargins="0">
    <oddFooter>&amp;C50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E1" workbookViewId="0"/>
  </sheetViews>
  <sheetFormatPr defaultRowHeight="12.75" x14ac:dyDescent="0.2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N27"/>
  <sheetViews>
    <sheetView rightToLeft="1" view="pageBreakPreview" zoomScaleNormal="100" zoomScaleSheetLayoutView="100" workbookViewId="0">
      <selection activeCell="AN1" sqref="J1:AN25"/>
    </sheetView>
  </sheetViews>
  <sheetFormatPr defaultRowHeight="12.75" x14ac:dyDescent="0.2"/>
  <cols>
    <col min="1" max="1" width="11.7109375" customWidth="1"/>
    <col min="2" max="2" width="12.42578125" customWidth="1"/>
    <col min="3" max="3" width="12.140625" customWidth="1"/>
    <col min="4" max="4" width="13" customWidth="1"/>
    <col min="5" max="5" width="16.5703125" customWidth="1"/>
    <col min="6" max="6" width="16" customWidth="1"/>
    <col min="7" max="7" width="19.7109375" customWidth="1"/>
    <col min="8" max="8" width="18.5703125" customWidth="1"/>
    <col min="9" max="9" width="1.28515625" hidden="1" customWidth="1"/>
  </cols>
  <sheetData>
    <row r="1" spans="1:40" ht="21" customHeight="1" x14ac:dyDescent="0.2">
      <c r="A1" s="821" t="s">
        <v>398</v>
      </c>
      <c r="B1" s="821"/>
      <c r="C1" s="821"/>
      <c r="D1" s="821"/>
      <c r="E1" s="821"/>
      <c r="F1" s="821"/>
      <c r="G1" s="821"/>
      <c r="H1" s="821"/>
    </row>
    <row r="2" spans="1:40" ht="14.25" customHeight="1" x14ac:dyDescent="0.2">
      <c r="A2" s="831" t="s">
        <v>399</v>
      </c>
      <c r="B2" s="831"/>
      <c r="C2" s="831"/>
      <c r="D2" s="831"/>
      <c r="E2" s="831"/>
      <c r="F2" s="831"/>
      <c r="G2" s="831"/>
    </row>
    <row r="3" spans="1:40" ht="16.5" customHeight="1" x14ac:dyDescent="0.2">
      <c r="A3" s="831"/>
      <c r="B3" s="831"/>
      <c r="C3" s="831"/>
      <c r="D3" s="831"/>
      <c r="E3" s="831"/>
      <c r="F3" s="831"/>
      <c r="G3" s="831"/>
      <c r="H3" s="338" t="s">
        <v>223</v>
      </c>
    </row>
    <row r="4" spans="1:40" ht="21" customHeight="1" x14ac:dyDescent="0.25">
      <c r="A4" s="828"/>
      <c r="B4" s="828"/>
      <c r="C4" s="19"/>
      <c r="D4" s="829"/>
      <c r="E4" s="829"/>
      <c r="F4" s="829"/>
      <c r="G4" s="21"/>
      <c r="H4" s="21"/>
    </row>
    <row r="5" spans="1:40" ht="29.25" customHeight="1" thickBot="1" x14ac:dyDescent="0.3">
      <c r="A5" s="830" t="s">
        <v>465</v>
      </c>
      <c r="B5" s="830"/>
      <c r="C5" s="830"/>
      <c r="D5" s="27"/>
      <c r="E5" s="27"/>
      <c r="F5" s="827" t="s">
        <v>341</v>
      </c>
      <c r="G5" s="827"/>
      <c r="H5" s="28" t="s">
        <v>79</v>
      </c>
    </row>
    <row r="6" spans="1:40" s="802" customFormat="1" ht="16.5" customHeight="1" x14ac:dyDescent="0.2">
      <c r="A6" s="803"/>
      <c r="B6" s="803" t="s">
        <v>69</v>
      </c>
      <c r="C6" s="803" t="s">
        <v>80</v>
      </c>
      <c r="D6" s="803" t="s">
        <v>81</v>
      </c>
      <c r="E6" s="803" t="s">
        <v>82</v>
      </c>
      <c r="F6" s="803" t="s">
        <v>83</v>
      </c>
      <c r="G6" s="803" t="s">
        <v>84</v>
      </c>
      <c r="H6" s="803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35.25" customHeight="1" x14ac:dyDescent="0.25">
      <c r="A7" s="21"/>
      <c r="B7" s="85" t="s">
        <v>28</v>
      </c>
      <c r="C7" s="242" t="s">
        <v>166</v>
      </c>
      <c r="D7" s="242" t="s">
        <v>151</v>
      </c>
      <c r="E7" s="85" t="s">
        <v>142</v>
      </c>
      <c r="F7" s="85" t="s">
        <v>143</v>
      </c>
      <c r="G7" s="799" t="s">
        <v>363</v>
      </c>
      <c r="H7" s="21"/>
    </row>
    <row r="8" spans="1:40" ht="15" customHeight="1" x14ac:dyDescent="0.2">
      <c r="A8" s="29" t="s">
        <v>85</v>
      </c>
      <c r="B8" s="797" t="s">
        <v>139</v>
      </c>
      <c r="C8" s="798" t="s">
        <v>139</v>
      </c>
      <c r="D8" s="798" t="s">
        <v>139</v>
      </c>
      <c r="E8" s="797" t="s">
        <v>138</v>
      </c>
      <c r="F8" s="797" t="s">
        <v>138</v>
      </c>
      <c r="G8" s="797"/>
      <c r="H8" s="29" t="s">
        <v>26</v>
      </c>
    </row>
    <row r="9" spans="1:40" s="3" customFormat="1" ht="15" customHeight="1" x14ac:dyDescent="0.25">
      <c r="A9" s="759" t="s">
        <v>395</v>
      </c>
      <c r="B9" s="769">
        <v>23</v>
      </c>
      <c r="C9" s="769">
        <v>250</v>
      </c>
      <c r="D9" s="769">
        <v>2</v>
      </c>
      <c r="E9" s="770">
        <v>6413</v>
      </c>
      <c r="F9" s="770">
        <v>7429</v>
      </c>
      <c r="G9" s="771">
        <v>1718989</v>
      </c>
      <c r="H9" s="59" t="s">
        <v>397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s="447" customFormat="1" ht="15" customHeight="1" x14ac:dyDescent="0.25">
      <c r="A10" s="16" t="s">
        <v>30</v>
      </c>
      <c r="B10" s="757">
        <v>329</v>
      </c>
      <c r="C10" s="757">
        <v>3070</v>
      </c>
      <c r="D10" s="757">
        <v>2</v>
      </c>
      <c r="E10" s="516">
        <v>83093</v>
      </c>
      <c r="F10" s="516">
        <v>94205</v>
      </c>
      <c r="G10" s="764">
        <v>28186875</v>
      </c>
      <c r="H10" s="17" t="s">
        <v>31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s="211" customFormat="1" ht="15" customHeight="1" x14ac:dyDescent="0.25">
      <c r="A11" s="453" t="s">
        <v>3</v>
      </c>
      <c r="B11" s="760">
        <v>825</v>
      </c>
      <c r="C11" s="760">
        <v>5820</v>
      </c>
      <c r="D11" s="760">
        <v>1</v>
      </c>
      <c r="E11" s="765">
        <v>227535</v>
      </c>
      <c r="F11" s="765">
        <v>192377</v>
      </c>
      <c r="G11" s="766">
        <v>50849486</v>
      </c>
      <c r="H11" s="59" t="s">
        <v>15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s="447" customFormat="1" ht="15" customHeight="1" x14ac:dyDescent="0.25">
      <c r="A12" s="16" t="s">
        <v>370</v>
      </c>
      <c r="B12" s="757">
        <v>140</v>
      </c>
      <c r="C12" s="757">
        <v>999</v>
      </c>
      <c r="D12" s="757">
        <v>0</v>
      </c>
      <c r="E12" s="516">
        <v>41834</v>
      </c>
      <c r="F12" s="516">
        <v>39914</v>
      </c>
      <c r="G12" s="764">
        <v>13167494</v>
      </c>
      <c r="H12" s="17" t="s">
        <v>371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s="211" customFormat="1" ht="15" customHeight="1" x14ac:dyDescent="0.25">
      <c r="A13" s="453" t="s">
        <v>4</v>
      </c>
      <c r="B13" s="760">
        <v>2209</v>
      </c>
      <c r="C13" s="760">
        <v>19718</v>
      </c>
      <c r="D13" s="760">
        <v>16</v>
      </c>
      <c r="E13" s="765">
        <v>624250</v>
      </c>
      <c r="F13" s="765">
        <v>670320</v>
      </c>
      <c r="G13" s="766">
        <v>259840350</v>
      </c>
      <c r="H13" s="454" t="s">
        <v>16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s="447" customFormat="1" ht="15" customHeight="1" x14ac:dyDescent="0.25">
      <c r="A14" s="16" t="s">
        <v>5</v>
      </c>
      <c r="B14" s="757">
        <v>446</v>
      </c>
      <c r="C14" s="757">
        <v>3132</v>
      </c>
      <c r="D14" s="757">
        <v>0</v>
      </c>
      <c r="E14" s="516">
        <v>116620</v>
      </c>
      <c r="F14" s="516">
        <v>97397</v>
      </c>
      <c r="G14" s="764">
        <v>37152420</v>
      </c>
      <c r="H14" s="17" t="s">
        <v>23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211" customFormat="1" ht="15" customHeight="1" x14ac:dyDescent="0.25">
      <c r="A15" s="453" t="s">
        <v>6</v>
      </c>
      <c r="B15" s="760">
        <v>406</v>
      </c>
      <c r="C15" s="760">
        <v>2748</v>
      </c>
      <c r="D15" s="760">
        <v>5</v>
      </c>
      <c r="E15" s="765">
        <v>94334</v>
      </c>
      <c r="F15" s="765">
        <v>80478</v>
      </c>
      <c r="G15" s="766">
        <v>26293944</v>
      </c>
      <c r="H15" s="454" t="s">
        <v>24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s="447" customFormat="1" ht="17.25" customHeight="1" x14ac:dyDescent="0.25">
      <c r="A16" s="16" t="s">
        <v>11</v>
      </c>
      <c r="B16" s="757">
        <v>399</v>
      </c>
      <c r="C16" s="757">
        <v>3095</v>
      </c>
      <c r="D16" s="757">
        <v>0</v>
      </c>
      <c r="E16" s="516">
        <v>98671</v>
      </c>
      <c r="F16" s="516">
        <v>106578</v>
      </c>
      <c r="G16" s="764">
        <v>295119368</v>
      </c>
      <c r="H16" s="17" t="s">
        <v>21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s="741" customFormat="1" ht="17.25" customHeight="1" x14ac:dyDescent="0.25">
      <c r="A17" s="740" t="s">
        <v>2</v>
      </c>
      <c r="B17" s="801">
        <v>224</v>
      </c>
      <c r="C17" s="801">
        <v>1605</v>
      </c>
      <c r="D17" s="801">
        <v>0</v>
      </c>
      <c r="E17" s="765">
        <v>59270</v>
      </c>
      <c r="F17" s="765">
        <v>43116</v>
      </c>
      <c r="G17" s="766">
        <v>13830712</v>
      </c>
      <c r="H17" s="800" t="s">
        <v>14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s="447" customFormat="1" ht="18" customHeight="1" x14ac:dyDescent="0.25">
      <c r="A18" s="16" t="s">
        <v>7</v>
      </c>
      <c r="B18" s="757">
        <v>693</v>
      </c>
      <c r="C18" s="757">
        <v>4692</v>
      </c>
      <c r="D18" s="757">
        <v>6</v>
      </c>
      <c r="E18" s="516">
        <v>183444</v>
      </c>
      <c r="F18" s="516">
        <v>132105</v>
      </c>
      <c r="G18" s="764">
        <v>54466627</v>
      </c>
      <c r="H18" s="17" t="s">
        <v>17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s="211" customFormat="1" ht="15" customHeight="1" x14ac:dyDescent="0.25">
      <c r="A19" s="738" t="s">
        <v>8</v>
      </c>
      <c r="B19" s="760">
        <v>275</v>
      </c>
      <c r="C19" s="760">
        <v>1596</v>
      </c>
      <c r="D19" s="760">
        <v>0</v>
      </c>
      <c r="E19" s="765">
        <v>69519</v>
      </c>
      <c r="F19" s="765">
        <v>48791</v>
      </c>
      <c r="G19" s="766">
        <v>14681015</v>
      </c>
      <c r="H19" s="739" t="s">
        <v>18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s="447" customFormat="1" ht="15" customHeight="1" x14ac:dyDescent="0.25">
      <c r="A20" s="16" t="s">
        <v>9</v>
      </c>
      <c r="B20" s="757">
        <v>249</v>
      </c>
      <c r="C20" s="757">
        <v>1069</v>
      </c>
      <c r="D20" s="757">
        <v>0</v>
      </c>
      <c r="E20" s="516">
        <v>60663</v>
      </c>
      <c r="F20" s="516">
        <v>48973</v>
      </c>
      <c r="G20" s="764">
        <v>18109906</v>
      </c>
      <c r="H20" s="17" t="s">
        <v>19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s="211" customFormat="1" ht="15" customHeight="1" x14ac:dyDescent="0.25">
      <c r="A21" s="738" t="s">
        <v>10</v>
      </c>
      <c r="B21" s="760">
        <v>450</v>
      </c>
      <c r="C21" s="760">
        <v>2789</v>
      </c>
      <c r="D21" s="760">
        <v>0</v>
      </c>
      <c r="E21" s="765">
        <v>104334</v>
      </c>
      <c r="F21" s="765">
        <v>86332</v>
      </c>
      <c r="G21" s="766">
        <v>21677578</v>
      </c>
      <c r="H21" s="739" t="s">
        <v>20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s="447" customFormat="1" ht="15" customHeight="1" x14ac:dyDescent="0.25">
      <c r="A22" s="16" t="s">
        <v>12</v>
      </c>
      <c r="B22" s="757">
        <v>149</v>
      </c>
      <c r="C22" s="757">
        <v>779</v>
      </c>
      <c r="D22" s="757">
        <v>0</v>
      </c>
      <c r="E22" s="516">
        <v>33474</v>
      </c>
      <c r="F22" s="516">
        <v>26884</v>
      </c>
      <c r="G22" s="764">
        <v>7683639</v>
      </c>
      <c r="H22" s="17" t="s">
        <v>25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s="211" customFormat="1" ht="14.25" customHeight="1" thickBot="1" x14ac:dyDescent="0.3">
      <c r="A23" s="738" t="s">
        <v>13</v>
      </c>
      <c r="B23" s="760">
        <v>507</v>
      </c>
      <c r="C23" s="760">
        <v>2978</v>
      </c>
      <c r="D23" s="760">
        <v>0</v>
      </c>
      <c r="E23" s="765">
        <v>126090</v>
      </c>
      <c r="F23" s="765">
        <v>124199</v>
      </c>
      <c r="G23" s="766">
        <v>48328271</v>
      </c>
      <c r="H23" s="739" t="s">
        <v>22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s="744" customFormat="1" ht="15" customHeight="1" thickBot="1" x14ac:dyDescent="0.25">
      <c r="A24" s="566" t="s">
        <v>0</v>
      </c>
      <c r="B24" s="767">
        <f t="shared" ref="B24:F24" si="0">SUM(B9:B23)</f>
        <v>7324</v>
      </c>
      <c r="C24" s="767">
        <f t="shared" si="0"/>
        <v>54340</v>
      </c>
      <c r="D24" s="767">
        <f t="shared" si="0"/>
        <v>32</v>
      </c>
      <c r="E24" s="768">
        <f t="shared" si="0"/>
        <v>1929544</v>
      </c>
      <c r="F24" s="767">
        <f t="shared" si="0"/>
        <v>1799098</v>
      </c>
      <c r="G24" s="767">
        <f>SUM(G9:G23)</f>
        <v>891106674</v>
      </c>
      <c r="H24" s="743" t="s">
        <v>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8" customHeight="1" x14ac:dyDescent="0.2">
      <c r="A25" s="826"/>
      <c r="B25" s="826"/>
      <c r="C25" s="826"/>
      <c r="D25" s="826"/>
    </row>
    <row r="26" spans="1:40" ht="15.75" customHeight="1" x14ac:dyDescent="0.25">
      <c r="B26" s="7"/>
      <c r="C26" s="25"/>
      <c r="D26" s="25"/>
      <c r="E26" s="25"/>
      <c r="F26" s="25"/>
      <c r="G26" s="25"/>
      <c r="H26" s="7"/>
    </row>
    <row r="27" spans="1:40" ht="16.5" customHeight="1" x14ac:dyDescent="0.2">
      <c r="C27" s="7"/>
      <c r="D27" s="6"/>
      <c r="E27" s="6"/>
      <c r="I27" s="7"/>
    </row>
  </sheetData>
  <mergeCells count="7">
    <mergeCell ref="A25:D25"/>
    <mergeCell ref="A1:H1"/>
    <mergeCell ref="F5:G5"/>
    <mergeCell ref="A4:B4"/>
    <mergeCell ref="D4:F4"/>
    <mergeCell ref="A5:C5"/>
    <mergeCell ref="A2:G3"/>
  </mergeCells>
  <phoneticPr fontId="3" type="noConversion"/>
  <printOptions horizontalCentered="1" verticalCentered="1"/>
  <pageMargins left="0.56000000000000005" right="0.73" top="1.0374015750000001" bottom="0.98425196850393704" header="0.78740157480314998" footer="0.511811023622047"/>
  <pageSetup orientation="landscape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O27"/>
  <sheetViews>
    <sheetView rightToLeft="1" view="pageBreakPreview" zoomScaleNormal="100" zoomScaleSheetLayoutView="100" workbookViewId="0">
      <selection activeCell="D26" sqref="D26"/>
    </sheetView>
  </sheetViews>
  <sheetFormatPr defaultRowHeight="12.75" x14ac:dyDescent="0.2"/>
  <cols>
    <col min="1" max="1" width="15.28515625" customWidth="1"/>
    <col min="2" max="2" width="14.85546875" customWidth="1"/>
    <col min="3" max="3" width="13.5703125" customWidth="1"/>
    <col min="4" max="4" width="15.140625" style="7" customWidth="1"/>
    <col min="5" max="5" width="19.7109375" style="7" customWidth="1"/>
    <col min="6" max="6" width="18" customWidth="1"/>
    <col min="7" max="7" width="15.140625" customWidth="1"/>
  </cols>
  <sheetData>
    <row r="1" spans="1:119" ht="15" x14ac:dyDescent="0.2">
      <c r="A1" s="834" t="s">
        <v>401</v>
      </c>
      <c r="B1" s="834"/>
      <c r="C1" s="834"/>
      <c r="D1" s="834"/>
      <c r="E1" s="834"/>
      <c r="F1" s="834"/>
      <c r="G1" s="834"/>
    </row>
    <row r="2" spans="1:119" ht="18" customHeight="1" x14ac:dyDescent="0.2">
      <c r="A2" s="835" t="s">
        <v>402</v>
      </c>
      <c r="B2" s="835"/>
      <c r="C2" s="835"/>
      <c r="D2" s="835"/>
      <c r="E2" s="835"/>
      <c r="F2" s="835"/>
      <c r="G2" s="835"/>
    </row>
    <row r="3" spans="1:119" ht="12" customHeight="1" x14ac:dyDescent="0.2">
      <c r="A3" s="835"/>
      <c r="B3" s="835"/>
      <c r="C3" s="835"/>
      <c r="D3" s="835"/>
      <c r="E3" s="835"/>
      <c r="F3" s="835"/>
      <c r="G3" s="835"/>
    </row>
    <row r="4" spans="1:119" s="7" customFormat="1" ht="12" customHeight="1" x14ac:dyDescent="0.2">
      <c r="B4" s="319"/>
      <c r="C4" s="319"/>
      <c r="D4" s="376"/>
      <c r="E4" s="376"/>
      <c r="F4" s="319"/>
      <c r="G4" s="329" t="s">
        <v>223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</row>
    <row r="5" spans="1:119" ht="18.75" customHeight="1" thickBot="1" x14ac:dyDescent="0.25">
      <c r="A5" s="833" t="s">
        <v>466</v>
      </c>
      <c r="B5" s="833"/>
      <c r="C5" s="833"/>
      <c r="D5" s="380"/>
      <c r="E5" s="380"/>
      <c r="F5" s="832" t="s">
        <v>342</v>
      </c>
      <c r="G5" s="832"/>
    </row>
    <row r="6" spans="1:119" s="211" customFormat="1" ht="15" customHeight="1" x14ac:dyDescent="0.2">
      <c r="A6" s="745"/>
      <c r="B6" s="746" t="s">
        <v>69</v>
      </c>
      <c r="C6" s="747" t="s">
        <v>80</v>
      </c>
      <c r="D6" s="747" t="s">
        <v>81</v>
      </c>
      <c r="E6" s="747" t="s">
        <v>86</v>
      </c>
      <c r="F6" s="747" t="s">
        <v>87</v>
      </c>
      <c r="G6" s="74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</row>
    <row r="7" spans="1:119" ht="15" customHeight="1" x14ac:dyDescent="0.25">
      <c r="A7" s="22"/>
      <c r="B7" s="385" t="s">
        <v>28</v>
      </c>
      <c r="C7" s="24" t="s">
        <v>166</v>
      </c>
      <c r="D7" s="24" t="s">
        <v>151</v>
      </c>
      <c r="E7" s="24" t="s">
        <v>143</v>
      </c>
      <c r="F7" s="24" t="s">
        <v>145</v>
      </c>
      <c r="G7" s="62"/>
    </row>
    <row r="8" spans="1:119" ht="15" customHeight="1" x14ac:dyDescent="0.2">
      <c r="A8" s="381" t="s">
        <v>85</v>
      </c>
      <c r="B8" s="381" t="s">
        <v>139</v>
      </c>
      <c r="C8" s="381" t="s">
        <v>139</v>
      </c>
      <c r="D8" s="381" t="s">
        <v>139</v>
      </c>
      <c r="E8" s="381" t="s">
        <v>138</v>
      </c>
      <c r="F8" s="382"/>
      <c r="G8" s="383" t="s">
        <v>26</v>
      </c>
    </row>
    <row r="9" spans="1:119" ht="15" customHeight="1" x14ac:dyDescent="0.2">
      <c r="A9" s="300" t="s">
        <v>395</v>
      </c>
      <c r="B9" s="315">
        <v>10</v>
      </c>
      <c r="C9" s="90">
        <v>74</v>
      </c>
      <c r="D9" s="90">
        <v>0</v>
      </c>
      <c r="E9" s="90">
        <v>2073</v>
      </c>
      <c r="F9" s="485">
        <v>479428</v>
      </c>
      <c r="G9" s="315" t="s">
        <v>397</v>
      </c>
    </row>
    <row r="10" spans="1:119" s="447" customFormat="1" ht="15" customHeight="1" x14ac:dyDescent="0.2">
      <c r="A10" s="16" t="s">
        <v>30</v>
      </c>
      <c r="B10" s="316">
        <v>166</v>
      </c>
      <c r="C10" s="86">
        <v>929</v>
      </c>
      <c r="D10" s="86">
        <v>0</v>
      </c>
      <c r="E10" s="86">
        <v>26181</v>
      </c>
      <c r="F10" s="486">
        <v>7775595</v>
      </c>
      <c r="G10" s="316" t="s">
        <v>31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1:119" s="211" customFormat="1" ht="15" customHeight="1" x14ac:dyDescent="0.2">
      <c r="A11" s="738" t="s">
        <v>3</v>
      </c>
      <c r="B11" s="315">
        <v>184</v>
      </c>
      <c r="C11" s="90">
        <v>1021</v>
      </c>
      <c r="D11" s="90">
        <v>0</v>
      </c>
      <c r="E11" s="90">
        <v>35730</v>
      </c>
      <c r="F11" s="485">
        <v>9301924</v>
      </c>
      <c r="G11" s="315" t="s">
        <v>15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s="447" customFormat="1" ht="15" customHeight="1" x14ac:dyDescent="0.2">
      <c r="A12" s="16" t="s">
        <v>370</v>
      </c>
      <c r="B12" s="316">
        <v>10</v>
      </c>
      <c r="C12" s="86">
        <v>30</v>
      </c>
      <c r="D12" s="86">
        <v>0</v>
      </c>
      <c r="E12" s="86">
        <v>1298</v>
      </c>
      <c r="F12" s="486">
        <v>486950</v>
      </c>
      <c r="G12" s="316" t="s">
        <v>371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</row>
    <row r="13" spans="1:119" s="211" customFormat="1" ht="15" customHeight="1" x14ac:dyDescent="0.2">
      <c r="A13" s="738" t="s">
        <v>4</v>
      </c>
      <c r="B13" s="315">
        <v>304</v>
      </c>
      <c r="C13" s="90">
        <v>1830</v>
      </c>
      <c r="D13" s="90">
        <v>0</v>
      </c>
      <c r="E13" s="90">
        <v>59747</v>
      </c>
      <c r="F13" s="485">
        <v>23130536</v>
      </c>
      <c r="G13" s="315" t="s">
        <v>16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s="447" customFormat="1" ht="15" customHeight="1" x14ac:dyDescent="0.2">
      <c r="A14" s="16" t="s">
        <v>5</v>
      </c>
      <c r="B14" s="316">
        <v>87</v>
      </c>
      <c r="C14" s="86">
        <v>447</v>
      </c>
      <c r="D14" s="86">
        <v>0</v>
      </c>
      <c r="E14" s="86">
        <v>13305</v>
      </c>
      <c r="F14" s="486">
        <v>4778358</v>
      </c>
      <c r="G14" s="316" t="s">
        <v>23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s="211" customFormat="1" ht="15" customHeight="1" x14ac:dyDescent="0.2">
      <c r="A15" s="738" t="s">
        <v>6</v>
      </c>
      <c r="B15" s="315">
        <v>173</v>
      </c>
      <c r="C15" s="90">
        <v>838</v>
      </c>
      <c r="D15" s="90">
        <v>0</v>
      </c>
      <c r="E15" s="90">
        <v>22804</v>
      </c>
      <c r="F15" s="485">
        <v>7203194</v>
      </c>
      <c r="G15" s="315" t="s">
        <v>24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</row>
    <row r="16" spans="1:119" s="447" customFormat="1" ht="15" customHeight="1" x14ac:dyDescent="0.2">
      <c r="A16" s="16" t="s">
        <v>11</v>
      </c>
      <c r="B16" s="316">
        <v>239</v>
      </c>
      <c r="C16" s="86">
        <v>1236</v>
      </c>
      <c r="D16" s="86">
        <v>0</v>
      </c>
      <c r="E16" s="86">
        <v>38917</v>
      </c>
      <c r="F16" s="486">
        <v>10550130</v>
      </c>
      <c r="G16" s="316" t="s">
        <v>21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s="211" customFormat="1" ht="15" customHeight="1" x14ac:dyDescent="0.2">
      <c r="A17" s="738" t="s">
        <v>2</v>
      </c>
      <c r="B17" s="315">
        <v>169</v>
      </c>
      <c r="C17" s="90">
        <v>530</v>
      </c>
      <c r="D17" s="90">
        <v>0</v>
      </c>
      <c r="E17" s="90">
        <v>17912</v>
      </c>
      <c r="F17" s="485">
        <v>5575559</v>
      </c>
      <c r="G17" s="315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s="447" customFormat="1" ht="15" customHeight="1" x14ac:dyDescent="0.2">
      <c r="A18" s="16" t="s">
        <v>7</v>
      </c>
      <c r="B18" s="316">
        <v>126</v>
      </c>
      <c r="C18" s="86">
        <v>611</v>
      </c>
      <c r="D18" s="86">
        <v>1</v>
      </c>
      <c r="E18" s="86">
        <v>16840</v>
      </c>
      <c r="F18" s="486">
        <v>6635580</v>
      </c>
      <c r="G18" s="316" t="s">
        <v>17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s="211" customFormat="1" ht="15" customHeight="1" x14ac:dyDescent="0.2">
      <c r="A19" s="738" t="s">
        <v>8</v>
      </c>
      <c r="B19" s="315">
        <v>31</v>
      </c>
      <c r="C19" s="90">
        <v>150</v>
      </c>
      <c r="D19" s="90">
        <v>0</v>
      </c>
      <c r="E19" s="90">
        <v>4153</v>
      </c>
      <c r="F19" s="485">
        <v>1265009</v>
      </c>
      <c r="G19" s="315" t="s">
        <v>18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s="447" customFormat="1" ht="15" customHeight="1" x14ac:dyDescent="0.2">
      <c r="A20" s="16" t="s">
        <v>9</v>
      </c>
      <c r="B20" s="316">
        <v>21</v>
      </c>
      <c r="C20" s="86">
        <v>63</v>
      </c>
      <c r="D20" s="86">
        <v>0</v>
      </c>
      <c r="E20" s="86">
        <v>2574</v>
      </c>
      <c r="F20" s="486">
        <v>862680</v>
      </c>
      <c r="G20" s="316" t="s">
        <v>19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s="211" customFormat="1" ht="15" customHeight="1" x14ac:dyDescent="0.2">
      <c r="A21" s="738" t="s">
        <v>10</v>
      </c>
      <c r="B21" s="315">
        <v>321</v>
      </c>
      <c r="C21" s="90">
        <v>1517</v>
      </c>
      <c r="D21" s="90">
        <v>0</v>
      </c>
      <c r="E21" s="90">
        <v>41962</v>
      </c>
      <c r="F21" s="485">
        <v>10531185</v>
      </c>
      <c r="G21" s="315" t="s">
        <v>20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1:119" s="447" customFormat="1" ht="15" customHeight="1" x14ac:dyDescent="0.2">
      <c r="A22" s="16" t="s">
        <v>12</v>
      </c>
      <c r="B22" s="316">
        <v>156</v>
      </c>
      <c r="C22" s="86">
        <v>677</v>
      </c>
      <c r="D22" s="86">
        <v>0</v>
      </c>
      <c r="E22" s="86">
        <v>21638</v>
      </c>
      <c r="F22" s="486">
        <v>6091564</v>
      </c>
      <c r="G22" s="316" t="s">
        <v>25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s="211" customFormat="1" ht="15" customHeight="1" thickBot="1" x14ac:dyDescent="0.25">
      <c r="A23" s="738" t="s">
        <v>13</v>
      </c>
      <c r="B23" s="315">
        <v>294</v>
      </c>
      <c r="C23" s="90">
        <v>1195</v>
      </c>
      <c r="D23" s="90">
        <v>0</v>
      </c>
      <c r="E23" s="90">
        <v>43451</v>
      </c>
      <c r="F23" s="485">
        <v>16846010</v>
      </c>
      <c r="G23" s="315" t="s">
        <v>22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1:119" s="447" customFormat="1" ht="20.25" customHeight="1" thickTop="1" thickBot="1" x14ac:dyDescent="0.25">
      <c r="A24" s="749" t="s">
        <v>0</v>
      </c>
      <c r="B24" s="751">
        <f>SUM(B9:B23)</f>
        <v>2291</v>
      </c>
      <c r="C24" s="742">
        <f>SUM(C9:C23)</f>
        <v>11148</v>
      </c>
      <c r="D24" s="742">
        <f>SUM(D9:D23)</f>
        <v>1</v>
      </c>
      <c r="E24" s="742">
        <f>SUM(E9:E23)</f>
        <v>348585</v>
      </c>
      <c r="F24" s="750">
        <f>SUM(F9:F23)</f>
        <v>111513702</v>
      </c>
      <c r="G24" s="751" t="s">
        <v>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</row>
    <row r="25" spans="1:119" ht="15.75" thickTop="1" x14ac:dyDescent="0.25">
      <c r="A25" s="836"/>
      <c r="B25" s="836"/>
      <c r="C25" s="836"/>
      <c r="D25" s="836"/>
      <c r="E25" s="15"/>
      <c r="F25" s="25"/>
      <c r="G25" s="25"/>
    </row>
    <row r="26" spans="1:119" ht="15" x14ac:dyDescent="0.25">
      <c r="B26" s="25"/>
      <c r="C26" s="25"/>
      <c r="D26" s="25"/>
      <c r="E26" s="25"/>
      <c r="F26" s="25"/>
      <c r="G26" s="25"/>
    </row>
    <row r="27" spans="1:119" x14ac:dyDescent="0.2">
      <c r="F27" s="6"/>
    </row>
  </sheetData>
  <mergeCells count="5">
    <mergeCell ref="F5:G5"/>
    <mergeCell ref="A5:C5"/>
    <mergeCell ref="A1:G1"/>
    <mergeCell ref="A2:G3"/>
    <mergeCell ref="A25:D25"/>
  </mergeCells>
  <phoneticPr fontId="3" type="noConversion"/>
  <printOptions horizontalCentered="1" verticalCentered="1"/>
  <pageMargins left="1.4" right="1.39" top="1.0374015750000001" bottom="0.98425196850393704" header="0.78740157480314998" footer="0.511811023622047"/>
  <pageSetup scale="94" orientation="landscape" verticalDpi="300" r:id="rId1"/>
  <headerFooter alignWithMargins="0">
    <oddFooter>&amp;C13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K26"/>
  <sheetViews>
    <sheetView rightToLeft="1" showWhiteSpace="0" view="pageLayout" topLeftCell="B1" zoomScaleSheetLayoutView="100" workbookViewId="0">
      <selection activeCell="L9" sqref="L9"/>
    </sheetView>
  </sheetViews>
  <sheetFormatPr defaultRowHeight="12.75" x14ac:dyDescent="0.2"/>
  <cols>
    <col min="1" max="1" width="0" hidden="1" customWidth="1"/>
    <col min="2" max="2" width="9.42578125" customWidth="1"/>
    <col min="3" max="3" width="9.140625" customWidth="1"/>
    <col min="4" max="4" width="9.7109375" customWidth="1"/>
    <col min="5" max="6" width="10.7109375" customWidth="1"/>
    <col min="7" max="7" width="10.28515625" customWidth="1"/>
    <col min="8" max="8" width="14.5703125" customWidth="1"/>
    <col min="9" max="9" width="16.5703125" customWidth="1"/>
    <col min="10" max="10" width="14.7109375" customWidth="1"/>
    <col min="11" max="11" width="16.42578125" customWidth="1"/>
  </cols>
  <sheetData>
    <row r="1" spans="2:11" ht="30.75" customHeight="1" x14ac:dyDescent="0.2">
      <c r="B1" s="821" t="s">
        <v>403</v>
      </c>
      <c r="C1" s="821"/>
      <c r="D1" s="821"/>
      <c r="E1" s="821"/>
      <c r="F1" s="821"/>
      <c r="G1" s="821"/>
      <c r="H1" s="821"/>
      <c r="I1" s="821"/>
      <c r="J1" s="821"/>
      <c r="K1" s="821"/>
    </row>
    <row r="2" spans="2:11" ht="22.5" customHeight="1" x14ac:dyDescent="0.2">
      <c r="B2" s="829" t="s">
        <v>404</v>
      </c>
      <c r="C2" s="829"/>
      <c r="D2" s="829"/>
      <c r="E2" s="829"/>
      <c r="F2" s="829"/>
      <c r="G2" s="829"/>
      <c r="H2" s="829"/>
      <c r="I2" s="829"/>
      <c r="J2" s="829"/>
      <c r="K2" s="829"/>
    </row>
    <row r="3" spans="2:11" s="7" customFormat="1" ht="18.75" customHeight="1" x14ac:dyDescent="0.2">
      <c r="C3" s="318"/>
      <c r="D3" s="318"/>
      <c r="E3" s="318"/>
      <c r="F3" s="318"/>
      <c r="G3" s="318"/>
      <c r="H3" s="318"/>
      <c r="I3" s="318"/>
      <c r="J3" s="318"/>
      <c r="K3" s="329" t="s">
        <v>223</v>
      </c>
    </row>
    <row r="4" spans="2:11" ht="28.5" customHeight="1" thickBot="1" x14ac:dyDescent="0.25">
      <c r="B4" s="52" t="s">
        <v>467</v>
      </c>
      <c r="C4" s="840" t="s">
        <v>156</v>
      </c>
      <c r="D4" s="840"/>
      <c r="E4" s="53"/>
      <c r="F4" s="53"/>
      <c r="G4" s="53"/>
      <c r="H4" s="53"/>
      <c r="I4" s="53"/>
      <c r="J4" s="53" t="s">
        <v>155</v>
      </c>
      <c r="K4" s="28" t="s">
        <v>109</v>
      </c>
    </row>
    <row r="5" spans="2:11" ht="15" customHeight="1" x14ac:dyDescent="0.2">
      <c r="B5" s="32"/>
      <c r="C5" s="31" t="s">
        <v>27</v>
      </c>
      <c r="D5" s="31" t="s">
        <v>110</v>
      </c>
      <c r="E5" s="31" t="s">
        <v>111</v>
      </c>
      <c r="F5" s="31" t="s">
        <v>80</v>
      </c>
      <c r="G5" s="348" t="s">
        <v>112</v>
      </c>
      <c r="H5" s="32" t="s">
        <v>113</v>
      </c>
      <c r="I5" s="31" t="s">
        <v>86</v>
      </c>
      <c r="J5" s="31" t="s">
        <v>130</v>
      </c>
      <c r="K5" s="31"/>
    </row>
    <row r="6" spans="2:11" ht="15" customHeight="1" x14ac:dyDescent="0.25">
      <c r="B6" s="249"/>
      <c r="C6" s="250" t="s">
        <v>28</v>
      </c>
      <c r="D6" s="23" t="s">
        <v>343</v>
      </c>
      <c r="E6" s="23" t="s">
        <v>158</v>
      </c>
      <c r="F6" s="23" t="s">
        <v>317</v>
      </c>
      <c r="G6" s="346" t="s">
        <v>151</v>
      </c>
      <c r="H6" s="249" t="s">
        <v>144</v>
      </c>
      <c r="I6" s="250" t="s">
        <v>143</v>
      </c>
      <c r="J6" s="33" t="s">
        <v>146</v>
      </c>
      <c r="K6" s="23"/>
    </row>
    <row r="7" spans="2:11" ht="15" customHeight="1" thickBot="1" x14ac:dyDescent="0.25">
      <c r="B7" s="251" t="s">
        <v>52</v>
      </c>
      <c r="C7" s="347" t="s">
        <v>139</v>
      </c>
      <c r="D7" s="347" t="s">
        <v>167</v>
      </c>
      <c r="E7" s="347" t="s">
        <v>168</v>
      </c>
      <c r="F7" s="347" t="s">
        <v>167</v>
      </c>
      <c r="G7" s="347" t="s">
        <v>139</v>
      </c>
      <c r="H7" s="347" t="s">
        <v>138</v>
      </c>
      <c r="I7" s="347" t="s">
        <v>138</v>
      </c>
      <c r="J7" s="251"/>
      <c r="K7" s="252" t="s">
        <v>26</v>
      </c>
    </row>
    <row r="8" spans="2:11" ht="15" customHeight="1" thickTop="1" x14ac:dyDescent="0.25">
      <c r="B8" s="16" t="s">
        <v>4</v>
      </c>
      <c r="C8" s="433">
        <v>5</v>
      </c>
      <c r="D8" s="433">
        <v>21</v>
      </c>
      <c r="E8" s="433">
        <v>51</v>
      </c>
      <c r="F8" s="433">
        <v>163</v>
      </c>
      <c r="G8" s="433">
        <v>10</v>
      </c>
      <c r="H8" s="433">
        <v>3751</v>
      </c>
      <c r="I8" s="433">
        <v>10328</v>
      </c>
      <c r="J8" s="437">
        <v>4170750</v>
      </c>
      <c r="K8" s="57" t="s">
        <v>16</v>
      </c>
    </row>
    <row r="9" spans="2:11" s="211" customFormat="1" ht="15" customHeight="1" x14ac:dyDescent="0.25">
      <c r="B9" s="440" t="s">
        <v>2</v>
      </c>
      <c r="C9" s="434">
        <v>1</v>
      </c>
      <c r="D9" s="434">
        <v>2</v>
      </c>
      <c r="E9" s="434">
        <v>4</v>
      </c>
      <c r="F9" s="434">
        <v>17</v>
      </c>
      <c r="G9" s="434">
        <v>1</v>
      </c>
      <c r="H9" s="434">
        <v>384</v>
      </c>
      <c r="I9" s="434">
        <v>601</v>
      </c>
      <c r="J9" s="436">
        <v>180420</v>
      </c>
      <c r="K9" s="442" t="s">
        <v>405</v>
      </c>
    </row>
    <row r="10" spans="2:11" s="7" customFormat="1" ht="15" customHeight="1" thickBot="1" x14ac:dyDescent="0.3">
      <c r="B10" s="16" t="s">
        <v>13</v>
      </c>
      <c r="C10" s="433">
        <v>0</v>
      </c>
      <c r="D10" s="433">
        <v>2</v>
      </c>
      <c r="E10" s="433">
        <v>6</v>
      </c>
      <c r="F10" s="433">
        <v>32</v>
      </c>
      <c r="G10" s="433">
        <v>0</v>
      </c>
      <c r="H10" s="433">
        <v>123</v>
      </c>
      <c r="I10" s="433">
        <v>568</v>
      </c>
      <c r="J10" s="437">
        <v>283800</v>
      </c>
      <c r="K10" s="57" t="s">
        <v>421</v>
      </c>
    </row>
    <row r="11" spans="2:11" ht="24" customHeight="1" thickTop="1" thickBot="1" x14ac:dyDescent="0.25">
      <c r="B11" s="253" t="s">
        <v>0</v>
      </c>
      <c r="C11" s="469">
        <v>6</v>
      </c>
      <c r="D11" s="469">
        <v>25</v>
      </c>
      <c r="E11" s="469">
        <v>61</v>
      </c>
      <c r="F11" s="469">
        <v>212</v>
      </c>
      <c r="G11" s="469">
        <v>11</v>
      </c>
      <c r="H11" s="469">
        <v>4258</v>
      </c>
      <c r="I11" s="469">
        <v>11497</v>
      </c>
      <c r="J11" s="469">
        <v>4634970</v>
      </c>
      <c r="K11" s="253" t="s">
        <v>115</v>
      </c>
    </row>
    <row r="12" spans="2:11" ht="13.5" thickTop="1" x14ac:dyDescent="0.2">
      <c r="B12" s="836"/>
      <c r="C12" s="836"/>
      <c r="D12" s="836"/>
      <c r="E12" s="836"/>
      <c r="F12" s="836"/>
      <c r="G12" s="836"/>
    </row>
    <row r="13" spans="2:11" ht="15" x14ac:dyDescent="0.25">
      <c r="B13" s="8"/>
      <c r="C13" s="25"/>
      <c r="D13" s="25"/>
      <c r="E13" s="25"/>
      <c r="F13" s="25"/>
      <c r="G13" s="25"/>
      <c r="H13" s="25"/>
      <c r="I13" s="25"/>
      <c r="J13" s="25"/>
      <c r="K13" s="8"/>
    </row>
    <row r="16" spans="2:11" ht="15" x14ac:dyDescent="0.2">
      <c r="B16" s="821" t="s">
        <v>406</v>
      </c>
      <c r="C16" s="821"/>
      <c r="D16" s="821"/>
      <c r="E16" s="821"/>
      <c r="F16" s="821"/>
      <c r="G16" s="821"/>
      <c r="H16" s="821"/>
      <c r="I16" s="821"/>
      <c r="J16" s="821"/>
      <c r="K16" s="821"/>
    </row>
    <row r="17" spans="2:11" ht="15" x14ac:dyDescent="0.2">
      <c r="B17" s="829" t="s">
        <v>404</v>
      </c>
      <c r="C17" s="829"/>
      <c r="D17" s="829"/>
      <c r="E17" s="829"/>
      <c r="F17" s="829"/>
      <c r="G17" s="829"/>
      <c r="H17" s="829"/>
      <c r="I17" s="829"/>
      <c r="J17" s="829"/>
      <c r="K17" s="829"/>
    </row>
    <row r="18" spans="2:11" s="7" customFormat="1" ht="15" x14ac:dyDescent="0.2">
      <c r="B18" s="318"/>
      <c r="C18" s="318"/>
      <c r="D18" s="318"/>
      <c r="E18" s="318"/>
      <c r="F18" s="318"/>
      <c r="G18" s="318"/>
      <c r="H18" s="318"/>
      <c r="I18" s="318"/>
      <c r="J18" s="318"/>
      <c r="K18" s="329" t="s">
        <v>223</v>
      </c>
    </row>
    <row r="19" spans="2:11" ht="15.75" customHeight="1" thickBot="1" x14ac:dyDescent="0.25">
      <c r="B19" s="246" t="s">
        <v>468</v>
      </c>
      <c r="C19" s="840" t="s">
        <v>329</v>
      </c>
      <c r="D19" s="840"/>
      <c r="E19" s="247"/>
      <c r="F19" s="247"/>
      <c r="G19" s="247"/>
      <c r="H19" s="247"/>
      <c r="I19" s="247"/>
      <c r="J19" s="63" t="s">
        <v>344</v>
      </c>
      <c r="K19" s="245" t="s">
        <v>114</v>
      </c>
    </row>
    <row r="20" spans="2:11" ht="30" x14ac:dyDescent="0.2">
      <c r="B20" s="32"/>
      <c r="C20" s="384" t="s">
        <v>27</v>
      </c>
      <c r="D20" s="384" t="s">
        <v>110</v>
      </c>
      <c r="E20" s="384" t="s">
        <v>111</v>
      </c>
      <c r="F20" s="384" t="s">
        <v>80</v>
      </c>
      <c r="G20" s="841" t="s">
        <v>112</v>
      </c>
      <c r="H20" s="841"/>
      <c r="I20" s="384" t="s">
        <v>86</v>
      </c>
      <c r="J20" s="384" t="s">
        <v>130</v>
      </c>
      <c r="K20" s="31"/>
    </row>
    <row r="21" spans="2:11" ht="15" x14ac:dyDescent="0.25">
      <c r="B21" s="249"/>
      <c r="C21" s="387" t="s">
        <v>28</v>
      </c>
      <c r="D21" s="24" t="s">
        <v>343</v>
      </c>
      <c r="E21" s="24" t="s">
        <v>158</v>
      </c>
      <c r="F21" s="24" t="s">
        <v>317</v>
      </c>
      <c r="G21" s="838" t="s">
        <v>151</v>
      </c>
      <c r="H21" s="838"/>
      <c r="I21" s="387" t="s">
        <v>143</v>
      </c>
      <c r="J21" s="24" t="s">
        <v>146</v>
      </c>
      <c r="K21" s="23"/>
    </row>
    <row r="22" spans="2:11" ht="15.75" thickBot="1" x14ac:dyDescent="0.25">
      <c r="B22" s="251" t="s">
        <v>52</v>
      </c>
      <c r="C22" s="251" t="s">
        <v>139</v>
      </c>
      <c r="D22" s="251" t="s">
        <v>167</v>
      </c>
      <c r="E22" s="251" t="s">
        <v>168</v>
      </c>
      <c r="F22" s="251" t="s">
        <v>167</v>
      </c>
      <c r="G22" s="839" t="s">
        <v>139</v>
      </c>
      <c r="H22" s="839"/>
      <c r="I22" s="251" t="s">
        <v>138</v>
      </c>
      <c r="J22" s="251"/>
      <c r="K22" s="252" t="s">
        <v>26</v>
      </c>
    </row>
    <row r="23" spans="2:11" ht="16.5" thickTop="1" thickBot="1" x14ac:dyDescent="0.3">
      <c r="B23" s="36" t="s">
        <v>4</v>
      </c>
      <c r="C23" s="86">
        <v>1</v>
      </c>
      <c r="D23" s="86">
        <v>11</v>
      </c>
      <c r="E23" s="86">
        <v>49</v>
      </c>
      <c r="F23" s="86">
        <v>101</v>
      </c>
      <c r="G23" s="472">
        <v>4</v>
      </c>
      <c r="H23" s="471"/>
      <c r="I23" s="86">
        <v>8736</v>
      </c>
      <c r="J23" s="87">
        <v>3262450</v>
      </c>
      <c r="K23" s="57" t="s">
        <v>16</v>
      </c>
    </row>
    <row r="24" spans="2:11" ht="17.25" thickTop="1" thickBot="1" x14ac:dyDescent="0.25">
      <c r="B24" s="253" t="s">
        <v>0</v>
      </c>
      <c r="C24" s="254">
        <v>1</v>
      </c>
      <c r="D24" s="254">
        <v>11</v>
      </c>
      <c r="E24" s="254">
        <v>49</v>
      </c>
      <c r="F24" s="254">
        <v>101</v>
      </c>
      <c r="G24" s="470">
        <v>4</v>
      </c>
      <c r="H24" s="469"/>
      <c r="I24" s="254">
        <v>8736</v>
      </c>
      <c r="J24" s="254">
        <v>3262450</v>
      </c>
      <c r="K24" s="253" t="s">
        <v>115</v>
      </c>
    </row>
    <row r="25" spans="2:11" ht="13.5" thickTop="1" x14ac:dyDescent="0.2">
      <c r="B25" s="836"/>
      <c r="C25" s="837"/>
      <c r="D25" s="837"/>
      <c r="E25" s="837"/>
      <c r="F25" s="837"/>
      <c r="G25" s="7"/>
      <c r="H25" s="7"/>
      <c r="I25" s="7"/>
      <c r="J25" s="7"/>
      <c r="K25" s="7"/>
    </row>
    <row r="26" spans="2:11" ht="15" x14ac:dyDescent="0.25">
      <c r="C26" s="25"/>
      <c r="D26" s="25"/>
      <c r="E26" s="25"/>
      <c r="F26" s="25"/>
      <c r="G26" s="25"/>
      <c r="H26" s="25"/>
      <c r="I26" s="25"/>
      <c r="J26" s="25"/>
      <c r="K26" s="8"/>
    </row>
  </sheetData>
  <mergeCells count="11">
    <mergeCell ref="B25:F25"/>
    <mergeCell ref="B1:K1"/>
    <mergeCell ref="B2:K2"/>
    <mergeCell ref="B16:K16"/>
    <mergeCell ref="G21:H21"/>
    <mergeCell ref="G22:H22"/>
    <mergeCell ref="B17:K17"/>
    <mergeCell ref="C19:D19"/>
    <mergeCell ref="G20:H20"/>
    <mergeCell ref="C4:D4"/>
    <mergeCell ref="B12:G12"/>
  </mergeCells>
  <phoneticPr fontId="3" type="noConversion"/>
  <printOptions horizontalCentered="1" verticalCentered="1"/>
  <pageMargins left="0.56999999999999995" right="0.56999999999999995" top="1.0374015750000001" bottom="0.98425196850393704" header="0.78740157480314998" footer="0.511811023622047"/>
  <pageSetup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L24"/>
  <sheetViews>
    <sheetView rightToLeft="1" view="pageBreakPreview" topLeftCell="B1" zoomScaleNormal="100" zoomScaleSheetLayoutView="100" workbookViewId="0">
      <selection activeCell="N4" sqref="N4"/>
    </sheetView>
  </sheetViews>
  <sheetFormatPr defaultRowHeight="12.75" x14ac:dyDescent="0.2"/>
  <cols>
    <col min="1" max="1" width="0" hidden="1" customWidth="1"/>
    <col min="2" max="2" width="10.85546875" customWidth="1"/>
    <col min="3" max="3" width="9.42578125" customWidth="1"/>
    <col min="4" max="4" width="10.28515625" customWidth="1"/>
    <col min="5" max="5" width="8.85546875" customWidth="1"/>
    <col min="6" max="6" width="9.85546875" customWidth="1"/>
    <col min="7" max="7" width="10.42578125" customWidth="1"/>
    <col min="8" max="8" width="15.7109375" customWidth="1"/>
    <col min="9" max="9" width="17.5703125" customWidth="1"/>
    <col min="10" max="10" width="14.5703125" customWidth="1"/>
    <col min="11" max="11" width="13.85546875" customWidth="1"/>
    <col min="12" max="12" width="1.140625" customWidth="1"/>
  </cols>
  <sheetData>
    <row r="1" spans="1:11" ht="15" x14ac:dyDescent="0.2">
      <c r="B1" s="821" t="s">
        <v>407</v>
      </c>
      <c r="C1" s="821"/>
      <c r="D1" s="821"/>
      <c r="E1" s="821"/>
      <c r="F1" s="821"/>
      <c r="G1" s="821"/>
      <c r="H1" s="821"/>
      <c r="I1" s="821"/>
      <c r="J1" s="821"/>
      <c r="K1" s="821"/>
    </row>
    <row r="2" spans="1:11" ht="15" customHeight="1" x14ac:dyDescent="0.2">
      <c r="B2" s="843" t="s">
        <v>408</v>
      </c>
      <c r="C2" s="843"/>
      <c r="D2" s="843"/>
      <c r="E2" s="843"/>
      <c r="F2" s="843"/>
      <c r="G2" s="843"/>
      <c r="H2" s="843"/>
      <c r="I2" s="843"/>
      <c r="J2" s="843"/>
      <c r="K2" s="843"/>
    </row>
    <row r="3" spans="1:11" s="7" customFormat="1" ht="15" customHeight="1" x14ac:dyDescent="0.2">
      <c r="B3" s="320"/>
      <c r="C3" s="320"/>
      <c r="D3" s="320"/>
      <c r="E3" s="320"/>
      <c r="F3" s="320"/>
      <c r="G3" s="320"/>
      <c r="H3" s="320"/>
      <c r="I3" s="320"/>
      <c r="J3" s="320"/>
      <c r="K3" s="329" t="s">
        <v>223</v>
      </c>
    </row>
    <row r="4" spans="1:11" ht="16.5" customHeight="1" thickBot="1" x14ac:dyDescent="0.3">
      <c r="B4" s="830" t="s">
        <v>469</v>
      </c>
      <c r="C4" s="830"/>
      <c r="D4" s="842" t="s">
        <v>156</v>
      </c>
      <c r="E4" s="842"/>
      <c r="F4" s="27"/>
      <c r="G4" s="27"/>
      <c r="H4" s="27"/>
      <c r="I4" s="53"/>
      <c r="J4" s="53" t="s">
        <v>155</v>
      </c>
      <c r="K4" s="28" t="s">
        <v>116</v>
      </c>
    </row>
    <row r="5" spans="1:11" ht="19.5" customHeight="1" x14ac:dyDescent="0.2">
      <c r="A5" s="3"/>
      <c r="B5" s="39"/>
      <c r="C5" s="16" t="s">
        <v>69</v>
      </c>
      <c r="D5" s="16" t="s">
        <v>110</v>
      </c>
      <c r="E5" s="16" t="s">
        <v>111</v>
      </c>
      <c r="F5" s="16" t="s">
        <v>80</v>
      </c>
      <c r="G5" s="16" t="s">
        <v>81</v>
      </c>
      <c r="H5" s="16" t="s">
        <v>224</v>
      </c>
      <c r="I5" s="16" t="s">
        <v>86</v>
      </c>
      <c r="J5" s="16" t="s">
        <v>132</v>
      </c>
      <c r="K5" s="39"/>
    </row>
    <row r="6" spans="1:11" ht="26.25" customHeight="1" x14ac:dyDescent="0.2">
      <c r="A6" s="3"/>
      <c r="B6" s="42"/>
      <c r="C6" s="18" t="s">
        <v>28</v>
      </c>
      <c r="D6" s="23" t="s">
        <v>343</v>
      </c>
      <c r="E6" s="50" t="s">
        <v>158</v>
      </c>
      <c r="F6" s="18" t="s">
        <v>166</v>
      </c>
      <c r="G6" s="18" t="s">
        <v>151</v>
      </c>
      <c r="H6" s="349" t="s">
        <v>144</v>
      </c>
      <c r="I6" s="349" t="s">
        <v>143</v>
      </c>
      <c r="J6" s="349" t="s">
        <v>363</v>
      </c>
      <c r="K6" s="42"/>
    </row>
    <row r="7" spans="1:11" ht="15" customHeight="1" thickBot="1" x14ac:dyDescent="0.25">
      <c r="A7" s="3"/>
      <c r="B7" s="61" t="s">
        <v>56</v>
      </c>
      <c r="C7" s="47" t="s">
        <v>139</v>
      </c>
      <c r="D7" s="47" t="s">
        <v>139</v>
      </c>
      <c r="E7" s="61" t="s">
        <v>139</v>
      </c>
      <c r="F7" s="47" t="s">
        <v>139</v>
      </c>
      <c r="G7" s="47" t="s">
        <v>139</v>
      </c>
      <c r="H7" s="47" t="s">
        <v>138</v>
      </c>
      <c r="I7" s="47" t="s">
        <v>138</v>
      </c>
      <c r="J7" s="61"/>
      <c r="K7" s="46" t="s">
        <v>26</v>
      </c>
    </row>
    <row r="8" spans="1:11" s="211" customFormat="1" ht="15" customHeight="1" thickTop="1" x14ac:dyDescent="0.25">
      <c r="B8" s="58" t="s">
        <v>395</v>
      </c>
      <c r="C8" s="90">
        <v>1</v>
      </c>
      <c r="D8" s="90">
        <v>6</v>
      </c>
      <c r="E8" s="90">
        <v>12</v>
      </c>
      <c r="F8" s="90">
        <v>39</v>
      </c>
      <c r="G8" s="90">
        <v>15</v>
      </c>
      <c r="H8" s="90">
        <v>991</v>
      </c>
      <c r="I8" s="90">
        <v>1726</v>
      </c>
      <c r="J8" s="214">
        <v>392471</v>
      </c>
      <c r="K8" s="59" t="s">
        <v>397</v>
      </c>
    </row>
    <row r="9" spans="1:11" s="7" customFormat="1" ht="15" customHeight="1" x14ac:dyDescent="0.25">
      <c r="B9" s="36" t="s">
        <v>30</v>
      </c>
      <c r="C9" s="86">
        <v>12</v>
      </c>
      <c r="D9" s="86">
        <v>36</v>
      </c>
      <c r="E9" s="86">
        <v>69</v>
      </c>
      <c r="F9" s="86">
        <v>196</v>
      </c>
      <c r="G9" s="86">
        <v>82</v>
      </c>
      <c r="H9" s="86">
        <v>7704</v>
      </c>
      <c r="I9" s="86">
        <v>23999</v>
      </c>
      <c r="J9" s="87">
        <v>10869165</v>
      </c>
      <c r="K9" s="17" t="s">
        <v>31</v>
      </c>
    </row>
    <row r="10" spans="1:11" ht="15" customHeight="1" x14ac:dyDescent="0.25">
      <c r="B10" s="55" t="s">
        <v>3</v>
      </c>
      <c r="C10" s="90">
        <v>5</v>
      </c>
      <c r="D10" s="90">
        <v>16</v>
      </c>
      <c r="E10" s="90">
        <v>23</v>
      </c>
      <c r="F10" s="90">
        <v>76</v>
      </c>
      <c r="G10" s="90">
        <v>32</v>
      </c>
      <c r="H10" s="90">
        <v>1696</v>
      </c>
      <c r="I10" s="90">
        <v>2697</v>
      </c>
      <c r="J10" s="214">
        <v>816480</v>
      </c>
      <c r="K10" s="60" t="s">
        <v>15</v>
      </c>
    </row>
    <row r="11" spans="1:11" s="447" customFormat="1" ht="15" customHeight="1" x14ac:dyDescent="0.25">
      <c r="B11" s="16" t="s">
        <v>381</v>
      </c>
      <c r="C11" s="86">
        <v>5</v>
      </c>
      <c r="D11" s="86">
        <v>15</v>
      </c>
      <c r="E11" s="86">
        <v>28</v>
      </c>
      <c r="F11" s="86">
        <v>71</v>
      </c>
      <c r="G11" s="86">
        <v>31</v>
      </c>
      <c r="H11" s="86">
        <v>1883</v>
      </c>
      <c r="I11" s="86">
        <v>3174</v>
      </c>
      <c r="J11" s="87">
        <v>1127776</v>
      </c>
      <c r="K11" s="17" t="s">
        <v>371</v>
      </c>
    </row>
    <row r="12" spans="1:11" s="211" customFormat="1" ht="15" customHeight="1" x14ac:dyDescent="0.25">
      <c r="B12" s="58" t="s">
        <v>4</v>
      </c>
      <c r="C12" s="90">
        <v>94</v>
      </c>
      <c r="D12" s="90">
        <v>361</v>
      </c>
      <c r="E12" s="90">
        <v>710</v>
      </c>
      <c r="F12" s="90">
        <v>1788</v>
      </c>
      <c r="G12" s="90">
        <v>549</v>
      </c>
      <c r="H12" s="90">
        <v>48479</v>
      </c>
      <c r="I12" s="90">
        <v>111838</v>
      </c>
      <c r="J12" s="214">
        <v>45000815</v>
      </c>
      <c r="K12" s="59" t="s">
        <v>16</v>
      </c>
    </row>
    <row r="13" spans="1:11" s="447" customFormat="1" ht="15" customHeight="1" x14ac:dyDescent="0.25">
      <c r="B13" s="36" t="s">
        <v>5</v>
      </c>
      <c r="C13" s="86">
        <v>6</v>
      </c>
      <c r="D13" s="86">
        <v>21</v>
      </c>
      <c r="E13" s="86">
        <v>59</v>
      </c>
      <c r="F13" s="86">
        <v>115</v>
      </c>
      <c r="G13" s="86">
        <v>40</v>
      </c>
      <c r="H13" s="86">
        <v>2743</v>
      </c>
      <c r="I13" s="86">
        <v>6218</v>
      </c>
      <c r="J13" s="87">
        <v>4096471</v>
      </c>
      <c r="K13" s="17" t="s">
        <v>23</v>
      </c>
    </row>
    <row r="14" spans="1:11" s="211" customFormat="1" ht="15" customHeight="1" x14ac:dyDescent="0.25">
      <c r="B14" s="58" t="s">
        <v>6</v>
      </c>
      <c r="C14" s="90">
        <v>12</v>
      </c>
      <c r="D14" s="90">
        <v>53</v>
      </c>
      <c r="E14" s="90">
        <v>121</v>
      </c>
      <c r="F14" s="90">
        <v>271</v>
      </c>
      <c r="G14" s="90">
        <v>41</v>
      </c>
      <c r="H14" s="90">
        <v>2994</v>
      </c>
      <c r="I14" s="90">
        <v>12284</v>
      </c>
      <c r="J14" s="214">
        <v>4973020</v>
      </c>
      <c r="K14" s="59" t="s">
        <v>24</v>
      </c>
    </row>
    <row r="15" spans="1:11" s="447" customFormat="1" ht="15" customHeight="1" x14ac:dyDescent="0.25">
      <c r="B15" s="36" t="s">
        <v>11</v>
      </c>
      <c r="C15" s="86">
        <v>1</v>
      </c>
      <c r="D15" s="86">
        <v>5</v>
      </c>
      <c r="E15" s="86">
        <v>9</v>
      </c>
      <c r="F15" s="86">
        <v>23</v>
      </c>
      <c r="G15" s="86">
        <v>18</v>
      </c>
      <c r="H15" s="86">
        <v>464</v>
      </c>
      <c r="I15" s="86">
        <v>971</v>
      </c>
      <c r="J15" s="87">
        <v>499352</v>
      </c>
      <c r="K15" s="17" t="s">
        <v>21</v>
      </c>
    </row>
    <row r="16" spans="1:11" s="211" customFormat="1" ht="18" customHeight="1" x14ac:dyDescent="0.25">
      <c r="B16" s="58" t="s">
        <v>2</v>
      </c>
      <c r="C16" s="90">
        <v>1</v>
      </c>
      <c r="D16" s="90">
        <v>4</v>
      </c>
      <c r="E16" s="90">
        <v>7</v>
      </c>
      <c r="F16" s="90">
        <v>24</v>
      </c>
      <c r="G16" s="90">
        <v>2</v>
      </c>
      <c r="H16" s="90">
        <v>434</v>
      </c>
      <c r="I16" s="90">
        <v>663</v>
      </c>
      <c r="J16" s="214">
        <v>198834</v>
      </c>
      <c r="K16" s="752" t="s">
        <v>14</v>
      </c>
    </row>
    <row r="17" spans="2:12" s="447" customFormat="1" ht="15" customHeight="1" x14ac:dyDescent="0.25">
      <c r="B17" s="36" t="s">
        <v>7</v>
      </c>
      <c r="C17" s="86">
        <v>17</v>
      </c>
      <c r="D17" s="86">
        <v>79</v>
      </c>
      <c r="E17" s="86">
        <v>194</v>
      </c>
      <c r="F17" s="86">
        <v>561</v>
      </c>
      <c r="G17" s="86">
        <v>138</v>
      </c>
      <c r="H17" s="86">
        <v>6977</v>
      </c>
      <c r="I17" s="86">
        <v>24370</v>
      </c>
      <c r="J17" s="87">
        <v>12044781</v>
      </c>
      <c r="K17" s="17" t="s">
        <v>17</v>
      </c>
    </row>
    <row r="18" spans="2:12" s="211" customFormat="1" ht="15" customHeight="1" x14ac:dyDescent="0.25">
      <c r="B18" s="58" t="s">
        <v>8</v>
      </c>
      <c r="C18" s="90">
        <v>2</v>
      </c>
      <c r="D18" s="90">
        <v>5</v>
      </c>
      <c r="E18" s="90">
        <v>7</v>
      </c>
      <c r="F18" s="90">
        <v>16</v>
      </c>
      <c r="G18" s="90">
        <v>12</v>
      </c>
      <c r="H18" s="90">
        <v>342</v>
      </c>
      <c r="I18" s="90">
        <v>647</v>
      </c>
      <c r="J18" s="214">
        <v>248430</v>
      </c>
      <c r="K18" s="59" t="s">
        <v>18</v>
      </c>
    </row>
    <row r="19" spans="2:12" s="447" customFormat="1" ht="15" customHeight="1" x14ac:dyDescent="0.25">
      <c r="B19" s="36" t="s">
        <v>9</v>
      </c>
      <c r="C19" s="86">
        <v>4</v>
      </c>
      <c r="D19" s="86">
        <v>13</v>
      </c>
      <c r="E19" s="86">
        <v>25</v>
      </c>
      <c r="F19" s="86">
        <v>65</v>
      </c>
      <c r="G19" s="86">
        <v>22</v>
      </c>
      <c r="H19" s="86">
        <v>1121</v>
      </c>
      <c r="I19" s="86">
        <v>3024</v>
      </c>
      <c r="J19" s="87">
        <v>1276938</v>
      </c>
      <c r="K19" s="17" t="s">
        <v>19</v>
      </c>
    </row>
    <row r="20" spans="2:12" s="211" customFormat="1" ht="15" customHeight="1" x14ac:dyDescent="0.25">
      <c r="B20" s="58" t="s">
        <v>10</v>
      </c>
      <c r="C20" s="90">
        <v>9</v>
      </c>
      <c r="D20" s="90">
        <v>32</v>
      </c>
      <c r="E20" s="90">
        <v>55</v>
      </c>
      <c r="F20" s="90">
        <v>151</v>
      </c>
      <c r="G20" s="90">
        <v>26</v>
      </c>
      <c r="H20" s="90">
        <v>3266</v>
      </c>
      <c r="I20" s="90">
        <v>7438</v>
      </c>
      <c r="J20" s="214">
        <v>3181852</v>
      </c>
      <c r="K20" s="59" t="s">
        <v>20</v>
      </c>
    </row>
    <row r="21" spans="2:12" ht="15" customHeight="1" thickBot="1" x14ac:dyDescent="0.3">
      <c r="B21" s="36" t="s">
        <v>13</v>
      </c>
      <c r="C21" s="86">
        <v>6</v>
      </c>
      <c r="D21" s="86">
        <v>21</v>
      </c>
      <c r="E21" s="86">
        <v>48</v>
      </c>
      <c r="F21" s="86">
        <v>131</v>
      </c>
      <c r="G21" s="86">
        <v>37</v>
      </c>
      <c r="H21" s="86">
        <v>6489</v>
      </c>
      <c r="I21" s="86">
        <v>8943</v>
      </c>
      <c r="J21" s="87">
        <v>5727686</v>
      </c>
      <c r="K21" s="17" t="s">
        <v>22</v>
      </c>
    </row>
    <row r="22" spans="2:12" ht="18.75" customHeight="1" thickBot="1" x14ac:dyDescent="0.25">
      <c r="B22" s="256" t="s">
        <v>0</v>
      </c>
      <c r="C22" s="255">
        <f t="shared" ref="C22:J22" si="0">SUM(C8:C21)</f>
        <v>175</v>
      </c>
      <c r="D22" s="255">
        <f t="shared" si="0"/>
        <v>667</v>
      </c>
      <c r="E22" s="255">
        <f t="shared" si="0"/>
        <v>1367</v>
      </c>
      <c r="F22" s="255">
        <f t="shared" si="0"/>
        <v>3527</v>
      </c>
      <c r="G22" s="255">
        <f t="shared" si="0"/>
        <v>1045</v>
      </c>
      <c r="H22" s="255">
        <f t="shared" si="0"/>
        <v>85583</v>
      </c>
      <c r="I22" s="255">
        <f t="shared" si="0"/>
        <v>207992</v>
      </c>
      <c r="J22" s="255">
        <f t="shared" si="0"/>
        <v>90454071</v>
      </c>
      <c r="K22" s="257" t="s">
        <v>1</v>
      </c>
    </row>
    <row r="23" spans="2:12" ht="13.5" thickTop="1" x14ac:dyDescent="0.2">
      <c r="B23" s="836"/>
      <c r="C23" s="836"/>
      <c r="D23" s="836"/>
      <c r="E23" s="836"/>
      <c r="F23" s="836"/>
    </row>
    <row r="24" spans="2:12" x14ac:dyDescent="0.2">
      <c r="B24" s="15"/>
      <c r="C24" s="15"/>
      <c r="D24" s="15"/>
      <c r="E24" s="15"/>
      <c r="F24" s="15"/>
      <c r="K24" s="8"/>
      <c r="L24" s="8"/>
    </row>
  </sheetData>
  <mergeCells count="5">
    <mergeCell ref="B1:K1"/>
    <mergeCell ref="B4:C4"/>
    <mergeCell ref="D4:E4"/>
    <mergeCell ref="B2:K2"/>
    <mergeCell ref="B23:F23"/>
  </mergeCells>
  <phoneticPr fontId="3" type="noConversion"/>
  <printOptions horizontalCentered="1" verticalCentered="1"/>
  <pageMargins left="0.25" right="0.4" top="0.75" bottom="0.75" header="0.3" footer="0.3"/>
  <pageSetup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J16"/>
  <sheetViews>
    <sheetView rightToLeft="1" view="pageBreakPreview" zoomScaleSheetLayoutView="100" workbookViewId="0">
      <selection activeCell="N6" sqref="N6"/>
    </sheetView>
  </sheetViews>
  <sheetFormatPr defaultRowHeight="12.75" x14ac:dyDescent="0.2"/>
  <cols>
    <col min="1" max="1" width="0.28515625" customWidth="1"/>
    <col min="2" max="2" width="12.140625" customWidth="1"/>
    <col min="3" max="3" width="13.28515625" style="7" customWidth="1"/>
    <col min="4" max="6" width="10" style="7" customWidth="1"/>
    <col min="7" max="7" width="11" customWidth="1"/>
    <col min="8" max="8" width="13" customWidth="1"/>
    <col min="9" max="9" width="20.140625" customWidth="1"/>
    <col min="10" max="10" width="12.7109375" customWidth="1"/>
  </cols>
  <sheetData>
    <row r="1" spans="2:10" ht="15" customHeight="1" x14ac:dyDescent="0.2">
      <c r="B1" s="821" t="s">
        <v>409</v>
      </c>
      <c r="C1" s="821"/>
      <c r="D1" s="821"/>
      <c r="E1" s="821"/>
      <c r="F1" s="821"/>
      <c r="G1" s="821"/>
      <c r="H1" s="821"/>
      <c r="I1" s="821"/>
      <c r="J1" s="821"/>
    </row>
    <row r="2" spans="2:10" ht="15.75" customHeight="1" x14ac:dyDescent="0.2">
      <c r="B2" s="829" t="s">
        <v>410</v>
      </c>
      <c r="C2" s="829"/>
      <c r="D2" s="829"/>
      <c r="E2" s="829"/>
      <c r="F2" s="829"/>
      <c r="G2" s="829"/>
      <c r="H2" s="829"/>
      <c r="I2" s="829"/>
      <c r="J2" s="829"/>
    </row>
    <row r="3" spans="2:10" x14ac:dyDescent="0.2">
      <c r="B3" s="829"/>
      <c r="C3" s="829"/>
      <c r="D3" s="829"/>
      <c r="E3" s="829"/>
      <c r="F3" s="829"/>
      <c r="G3" s="829"/>
      <c r="H3" s="829"/>
      <c r="I3" s="829"/>
      <c r="J3" s="829"/>
    </row>
    <row r="4" spans="2:10" s="7" customFormat="1" ht="15" x14ac:dyDescent="0.2">
      <c r="B4" s="318"/>
      <c r="C4" s="400"/>
      <c r="D4" s="400"/>
      <c r="E4" s="400"/>
      <c r="F4" s="400"/>
      <c r="G4" s="318"/>
      <c r="H4" s="318"/>
      <c r="I4" s="318"/>
      <c r="J4" s="329" t="s">
        <v>223</v>
      </c>
    </row>
    <row r="5" spans="2:10" ht="15" customHeight="1" thickBot="1" x14ac:dyDescent="0.3">
      <c r="B5" s="386" t="s">
        <v>470</v>
      </c>
      <c r="C5" s="401"/>
      <c r="D5" s="401"/>
      <c r="E5" s="401"/>
      <c r="F5" s="401"/>
      <c r="G5" s="27"/>
      <c r="H5" s="827" t="s">
        <v>344</v>
      </c>
      <c r="I5" s="827"/>
      <c r="J5" s="28" t="s">
        <v>117</v>
      </c>
    </row>
    <row r="6" spans="2:10" ht="41.25" customHeight="1" x14ac:dyDescent="0.25">
      <c r="B6" s="45"/>
      <c r="C6" s="45" t="s">
        <v>27</v>
      </c>
      <c r="D6" s="45" t="s">
        <v>379</v>
      </c>
      <c r="E6" s="45" t="s">
        <v>111</v>
      </c>
      <c r="F6" s="45" t="s">
        <v>380</v>
      </c>
      <c r="G6" s="16" t="s">
        <v>112</v>
      </c>
      <c r="H6" s="774" t="s">
        <v>86</v>
      </c>
      <c r="I6" s="16" t="s">
        <v>225</v>
      </c>
      <c r="J6" s="39"/>
    </row>
    <row r="7" spans="2:10" ht="34.5" customHeight="1" x14ac:dyDescent="0.25">
      <c r="B7" s="21"/>
      <c r="C7" s="399" t="s">
        <v>28</v>
      </c>
      <c r="D7" s="399" t="s">
        <v>343</v>
      </c>
      <c r="E7" s="399" t="s">
        <v>158</v>
      </c>
      <c r="F7" s="399" t="s">
        <v>166</v>
      </c>
      <c r="G7" s="240" t="s">
        <v>151</v>
      </c>
      <c r="H7" s="18" t="s">
        <v>143</v>
      </c>
      <c r="I7" s="50" t="s">
        <v>145</v>
      </c>
      <c r="J7" s="42"/>
    </row>
    <row r="8" spans="2:10" ht="36.75" customHeight="1" thickBot="1" x14ac:dyDescent="0.25">
      <c r="B8" s="46" t="s">
        <v>54</v>
      </c>
      <c r="C8" s="47" t="s">
        <v>139</v>
      </c>
      <c r="D8" s="47" t="s">
        <v>139</v>
      </c>
      <c r="E8" s="47" t="s">
        <v>139</v>
      </c>
      <c r="F8" s="47" t="s">
        <v>139</v>
      </c>
      <c r="G8" s="47" t="s">
        <v>139</v>
      </c>
      <c r="H8" s="47" t="s">
        <v>138</v>
      </c>
      <c r="I8" s="61"/>
      <c r="J8" s="46" t="s">
        <v>26</v>
      </c>
    </row>
    <row r="9" spans="2:10" s="211" customFormat="1" ht="15" customHeight="1" thickTop="1" x14ac:dyDescent="0.25">
      <c r="B9" s="58" t="s">
        <v>395</v>
      </c>
      <c r="C9" s="59">
        <v>0</v>
      </c>
      <c r="D9" s="59">
        <v>1</v>
      </c>
      <c r="E9" s="59">
        <v>3</v>
      </c>
      <c r="F9" s="59">
        <v>5</v>
      </c>
      <c r="G9" s="90">
        <v>0</v>
      </c>
      <c r="H9" s="90">
        <v>258</v>
      </c>
      <c r="I9" s="473">
        <v>77400</v>
      </c>
      <c r="J9" s="59" t="s">
        <v>397</v>
      </c>
    </row>
    <row r="10" spans="2:10" s="7" customFormat="1" ht="15" customHeight="1" x14ac:dyDescent="0.25">
      <c r="B10" s="36" t="s">
        <v>30</v>
      </c>
      <c r="C10" s="17">
        <v>1</v>
      </c>
      <c r="D10" s="17">
        <v>2</v>
      </c>
      <c r="E10" s="17">
        <v>4</v>
      </c>
      <c r="F10" s="17">
        <v>11</v>
      </c>
      <c r="G10" s="86">
        <v>2</v>
      </c>
      <c r="H10" s="86">
        <v>482</v>
      </c>
      <c r="I10" s="474">
        <v>142350</v>
      </c>
      <c r="J10" s="17" t="s">
        <v>31</v>
      </c>
    </row>
    <row r="11" spans="2:10" s="211" customFormat="1" ht="15" customHeight="1" x14ac:dyDescent="0.25">
      <c r="B11" s="58" t="s">
        <v>4</v>
      </c>
      <c r="C11" s="59">
        <v>3</v>
      </c>
      <c r="D11" s="59">
        <v>8</v>
      </c>
      <c r="E11" s="59">
        <v>20</v>
      </c>
      <c r="F11" s="59">
        <v>58</v>
      </c>
      <c r="G11" s="90">
        <v>6</v>
      </c>
      <c r="H11" s="90">
        <v>2320</v>
      </c>
      <c r="I11" s="473">
        <v>1092406</v>
      </c>
      <c r="J11" s="59" t="s">
        <v>16</v>
      </c>
    </row>
    <row r="12" spans="2:10" ht="15" customHeight="1" x14ac:dyDescent="0.2">
      <c r="B12" s="36" t="s">
        <v>6</v>
      </c>
      <c r="C12" s="17">
        <v>5</v>
      </c>
      <c r="D12" s="17">
        <v>17</v>
      </c>
      <c r="E12" s="17">
        <v>24</v>
      </c>
      <c r="F12" s="17">
        <v>93</v>
      </c>
      <c r="G12" s="17">
        <v>18</v>
      </c>
      <c r="H12" s="17">
        <v>5012</v>
      </c>
      <c r="I12" s="475">
        <v>1830248</v>
      </c>
      <c r="J12" s="17" t="s">
        <v>24</v>
      </c>
    </row>
    <row r="13" spans="2:10" s="211" customFormat="1" ht="15" customHeight="1" x14ac:dyDescent="0.2">
      <c r="B13" s="58" t="s">
        <v>11</v>
      </c>
      <c r="C13" s="59">
        <v>2</v>
      </c>
      <c r="D13" s="59">
        <v>6</v>
      </c>
      <c r="E13" s="59">
        <v>11</v>
      </c>
      <c r="F13" s="59">
        <v>25</v>
      </c>
      <c r="G13" s="59">
        <v>2</v>
      </c>
      <c r="H13" s="59">
        <v>634</v>
      </c>
      <c r="I13" s="476">
        <v>196605</v>
      </c>
      <c r="J13" s="59" t="s">
        <v>21</v>
      </c>
    </row>
    <row r="14" spans="2:10" s="447" customFormat="1" ht="15.75" customHeight="1" x14ac:dyDescent="0.2">
      <c r="B14" s="36" t="s">
        <v>377</v>
      </c>
      <c r="C14" s="17">
        <v>0</v>
      </c>
      <c r="D14" s="17">
        <v>1</v>
      </c>
      <c r="E14" s="17">
        <v>2</v>
      </c>
      <c r="F14" s="17">
        <v>3</v>
      </c>
      <c r="G14" s="17">
        <v>2</v>
      </c>
      <c r="H14" s="17">
        <v>153</v>
      </c>
      <c r="I14" s="475">
        <v>68940</v>
      </c>
      <c r="J14" s="735" t="s">
        <v>19</v>
      </c>
    </row>
    <row r="15" spans="2:10" s="211" customFormat="1" ht="15" customHeight="1" thickBot="1" x14ac:dyDescent="0.25">
      <c r="B15" s="58" t="s">
        <v>378</v>
      </c>
      <c r="C15" s="59">
        <v>1</v>
      </c>
      <c r="D15" s="59">
        <v>4</v>
      </c>
      <c r="E15" s="59">
        <v>4</v>
      </c>
      <c r="F15" s="59">
        <v>9</v>
      </c>
      <c r="G15" s="59">
        <v>2</v>
      </c>
      <c r="H15" s="59">
        <v>886</v>
      </c>
      <c r="I15" s="476">
        <v>293500</v>
      </c>
      <c r="J15" s="59" t="s">
        <v>22</v>
      </c>
    </row>
    <row r="16" spans="2:10" s="557" customFormat="1" ht="16.5" customHeight="1" thickBot="1" x14ac:dyDescent="0.25">
      <c r="B16" s="753" t="s">
        <v>0</v>
      </c>
      <c r="C16" s="754">
        <v>12</v>
      </c>
      <c r="D16" s="754">
        <v>39</v>
      </c>
      <c r="E16" s="754">
        <f>SUM(E9:E15)</f>
        <v>68</v>
      </c>
      <c r="F16" s="754">
        <f>SUM(F9:F15)</f>
        <v>204</v>
      </c>
      <c r="G16" s="559">
        <v>32</v>
      </c>
      <c r="H16" s="559">
        <f>SUM(H9:H15)</f>
        <v>9745</v>
      </c>
      <c r="I16" s="755">
        <f>SUM(I9:I15)</f>
        <v>3701449</v>
      </c>
      <c r="J16" s="756" t="s">
        <v>1</v>
      </c>
    </row>
  </sheetData>
  <mergeCells count="3">
    <mergeCell ref="B1:J1"/>
    <mergeCell ref="B2:J3"/>
    <mergeCell ref="H5:I5"/>
  </mergeCells>
  <phoneticPr fontId="3" type="noConversion"/>
  <printOptions horizontalCentered="1" verticalCentered="1"/>
  <pageMargins left="1.21" right="0.82" top="1.0374015750000001" bottom="0.98425196850393704" header="0.78740157480314998" footer="0.511811023622047"/>
  <pageSetup orientation="landscape" verticalDpi="300" r:id="rId1"/>
  <headerFooter alignWithMargins="0">
    <oddFooter>&amp;C16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6</vt:i4>
      </vt:variant>
    </vt:vector>
  </HeadingPairs>
  <TitlesOfParts>
    <vt:vector size="51" baseType="lpstr">
      <vt:lpstr>الكلفه  للسنوات</vt:lpstr>
      <vt:lpstr>مخطط الكلفه للسنوات</vt:lpstr>
      <vt:lpstr>مؤشرات</vt:lpstr>
      <vt:lpstr>مخطط المؤشرات</vt:lpstr>
      <vt:lpstr>دور السكن ج</vt:lpstr>
      <vt:lpstr>دور السكن م</vt:lpstr>
      <vt:lpstr>عمارات سكنيه ج و م</vt:lpstr>
      <vt:lpstr>عمارات تجاريه ج</vt:lpstr>
      <vt:lpstr>عمارات تجاريه م</vt:lpstr>
      <vt:lpstr>ابنيه صناعيه ج</vt:lpstr>
      <vt:lpstr>صناعي اضافة</vt:lpstr>
      <vt:lpstr>ابنيه تجاريه ج</vt:lpstr>
      <vt:lpstr>ابنيه تجاريه م</vt:lpstr>
      <vt:lpstr>ابنيه اجتماعيه ج</vt:lpstr>
      <vt:lpstr>ابنيه اجتماعيه م</vt:lpstr>
      <vt:lpstr>العاملين</vt:lpstr>
      <vt:lpstr>مخطط العاملين</vt:lpstr>
      <vt:lpstr>طابوق</vt:lpstr>
      <vt:lpstr>بلوك</vt:lpstr>
      <vt:lpstr>مخطط الطابوق والبلوك</vt:lpstr>
      <vt:lpstr>حجر</vt:lpstr>
      <vt:lpstr>حصى</vt:lpstr>
      <vt:lpstr>رمل</vt:lpstr>
      <vt:lpstr>مخطط الحصى</vt:lpstr>
      <vt:lpstr>سمنت</vt:lpstr>
      <vt:lpstr>جص</vt:lpstr>
      <vt:lpstr>مخطط الجص والاسمنت</vt:lpstr>
      <vt:lpstr>كاشي</vt:lpstr>
      <vt:lpstr>كاشي2</vt:lpstr>
      <vt:lpstr>مخطط الكاشي</vt:lpstr>
      <vt:lpstr>حديد</vt:lpstr>
      <vt:lpstr>ابواب</vt:lpstr>
      <vt:lpstr>شبابيك</vt:lpstr>
      <vt:lpstr>ت.كهربائيه1</vt:lpstr>
      <vt:lpstr>ت.كهربائيه2</vt:lpstr>
      <vt:lpstr>ت.صحيه1</vt:lpstr>
      <vt:lpstr>ت.صحيه2</vt:lpstr>
      <vt:lpstr>ت.صحيه3</vt:lpstr>
      <vt:lpstr>مواد انشائيه1</vt:lpstr>
      <vt:lpstr>مواد انشائيه2</vt:lpstr>
      <vt:lpstr>مواد انشائيه3</vt:lpstr>
      <vt:lpstr>مواد انشائيه4</vt:lpstr>
      <vt:lpstr>الكلفه الكليه</vt:lpstr>
      <vt:lpstr>Sheet3</vt:lpstr>
      <vt:lpstr>Sheet1</vt:lpstr>
      <vt:lpstr>'دور السكن م'!Print_Area</vt:lpstr>
      <vt:lpstr>'عمارات تجاريه ج'!Print_Area</vt:lpstr>
      <vt:lpstr>'عمارات تجاريه م'!Print_Area</vt:lpstr>
      <vt:lpstr>'مخطط الطابوق والبلوك'!Print_Area</vt:lpstr>
      <vt:lpstr>'مواد انشائيه4'!Print_Area</vt:lpstr>
      <vt:lpstr>مؤشرات!Print_Area</vt:lpstr>
    </vt:vector>
  </TitlesOfParts>
  <Company>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Zaenab Kalaf</cp:lastModifiedBy>
  <cp:lastPrinted>2019-07-02T05:24:06Z</cp:lastPrinted>
  <dcterms:created xsi:type="dcterms:W3CDTF">2008-12-28T17:21:03Z</dcterms:created>
  <dcterms:modified xsi:type="dcterms:W3CDTF">2019-07-09T05:18:44Z</dcterms:modified>
</cp:coreProperties>
</file>